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5fiscal.sharepoint.com/Shared Documents/Delaware/Cost Model/2024 Public Models/"/>
    </mc:Choice>
  </mc:AlternateContent>
  <xr:revisionPtr revIDLastSave="28" documentId="8_{2CFFFCDD-0FDF-1440-AAE1-F66906AD0F44}" xr6:coauthVersionLast="47" xr6:coauthVersionMax="47" xr10:uidLastSave="{248F4880-4B22-DD4F-9326-900C304E40B6}"/>
  <workbookProtection workbookAlgorithmName="SHA-512" workbookHashValue="RgmZQXBef8VXBRMYK2TujgvuhJSKxmLzWBHUtlYSQJbjDJ9YhY2xB1wogb5P+mBSkHXLSVpwU6K9lhMObDIFwg==" workbookSaltValue="qp6ZPs/a26VzRABfSCzC5A==" workbookSpinCount="100000" lockStructure="1"/>
  <bookViews>
    <workbookView xWindow="0" yWindow="700" windowWidth="26460" windowHeight="16860" xr2:uid="{1863C0A5-437A-BE44-B2A7-A795D8DF23ED}"/>
    <workbookView xWindow="0" yWindow="700" windowWidth="27040" windowHeight="16860" xr2:uid="{6681CF0B-E1BE-7A41-ACC9-431C9DF43FF7}"/>
  </bookViews>
  <sheets>
    <sheet name="VariablesINPUT-CTR" sheetId="35" r:id="rId1"/>
    <sheet name="Quality Center Profile" sheetId="1" state="hidden" r:id="rId2"/>
    <sheet name="QualVar" sheetId="111" state="hidden" r:id="rId3"/>
    <sheet name="Wages" sheetId="110" state="hidden" r:id="rId4"/>
    <sheet name="Ratios" sheetId="90" state="hidden" r:id="rId5"/>
    <sheet name="Nonpersonnel PCQC" sheetId="77" state="hidden" r:id="rId6"/>
    <sheet name="Subsidy Rates" sheetId="108" state="hidden" r:id="rId7"/>
    <sheet name="Tuition Rates" sheetId="109" state="hidden" r:id="rId8"/>
    <sheet name="Fed CACFP" sheetId="112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NumberTeachingStaff" localSheetId="8">'Quality Center Profile'!$A$30</definedName>
    <definedName name="_NumberTeachingStaff" localSheetId="3">'[1]Quality Center Profile'!$A$30</definedName>
    <definedName name="_NumberTeachingStaff">'Quality Center Profile'!$A$30</definedName>
    <definedName name="AAdegree" localSheetId="8">#REF!</definedName>
    <definedName name="AAdegree" localSheetId="2">'[2]VariablesINPUT-FCC'!#REF!</definedName>
    <definedName name="AAdegree" localSheetId="3">'[1]VariablesINPUT-CTR'!#REF!</definedName>
    <definedName name="AAdegree">'VariablesINPUT-CTR'!#REF!</definedName>
    <definedName name="AAdegree2">'VariablesINPUT-CTR'!#REF!</definedName>
    <definedName name="AdditionalBenefits" localSheetId="8">#REF!</definedName>
    <definedName name="AdditionalBenefits" localSheetId="2">'[2]Quality Home Profile'!#REF!</definedName>
    <definedName name="AdditionalBenefits" localSheetId="3">'[1]Quality Center Profile'!$D$46</definedName>
    <definedName name="AdditionalBenefits">'Quality Center Profile'!$D$46</definedName>
    <definedName name="Addl_benefits_per_staff" localSheetId="8">'[3]Quality Center Profile'!$C$39</definedName>
    <definedName name="Addl_benefits_per_staff" localSheetId="2">'[2]Quality Home Profile'!#REF!</definedName>
    <definedName name="Addl_benefits_per_staff" localSheetId="3">'[1]Quality Center Profile'!$C$46</definedName>
    <definedName name="Addl_benefits_per_staff">'Quality Center Profile'!$C$46</definedName>
    <definedName name="Admin_Staff" localSheetId="8">#REF!</definedName>
    <definedName name="Admin_Staff" localSheetId="3">'[1]Quality Center Profile'!$D$20</definedName>
    <definedName name="Admin_Staff">'Quality Center Profile'!$D$22</definedName>
    <definedName name="Administration__by_child" localSheetId="8">'[4]Nonpersonnel Aggregated'!$B$21</definedName>
    <definedName name="Administration__by_child" localSheetId="2">#REF!</definedName>
    <definedName name="Administration__by_child">#REF!</definedName>
    <definedName name="Asst_Teacher" localSheetId="8">#REF!</definedName>
    <definedName name="Asst_Teacher" localSheetId="3">'[1]Quality Center Profile'!$D$23</definedName>
    <definedName name="Asst_Teacher">'Quality Center Profile'!$D$25</definedName>
    <definedName name="Asst_TeacherIT">'Quality Center Profile'!$D$25</definedName>
    <definedName name="AsstTeacherFCC">'[2]Quality Home Profile'!$C$18</definedName>
    <definedName name="BadDebt" localSheetId="8">#REF!</definedName>
    <definedName name="BadDebt" localSheetId="2">'[2]VariablesINPUT-FCC'!$D$50</definedName>
    <definedName name="BadDebt" localSheetId="3">'[1]VariablesINPUT-CTR'!$E$42</definedName>
    <definedName name="BadDebt">'VariablesINPUT-CTR'!$E$47</definedName>
    <definedName name="BAdegree" localSheetId="8">#REF!</definedName>
    <definedName name="BAdegree" localSheetId="2">'[2]VariablesINPUT-FCC'!#REF!</definedName>
    <definedName name="BAdegree" localSheetId="3">'[1]VariablesINPUT-CTR'!#REF!</definedName>
    <definedName name="BAdegree">'VariablesINPUT-CTR'!#REF!</definedName>
    <definedName name="BLSsalary" localSheetId="8">'[3]VariablesINPUT-FCC'!#REF!</definedName>
    <definedName name="BLSsalary" localSheetId="2">#REF!</definedName>
    <definedName name="BLSsalary">#REF!</definedName>
    <definedName name="City_Fours" localSheetId="8">#REF!</definedName>
    <definedName name="City_Fours" localSheetId="2">#REF!</definedName>
    <definedName name="City_Fours">#REF!</definedName>
    <definedName name="City_Infants" localSheetId="8">#REF!</definedName>
    <definedName name="City_Infants" localSheetId="2">#REF!</definedName>
    <definedName name="City_Infants">#REF!</definedName>
    <definedName name="City_Threes" localSheetId="8">#REF!</definedName>
    <definedName name="City_Threes" localSheetId="2">#REF!</definedName>
    <definedName name="City_Threes">#REF!</definedName>
    <definedName name="City_Toddlers" localSheetId="8">#REF!</definedName>
    <definedName name="City_Toddlers" localSheetId="2">#REF!</definedName>
    <definedName name="City_Toddlers">#REF!</definedName>
    <definedName name="COunty" localSheetId="8">#REF!</definedName>
    <definedName name="COunty" localSheetId="2">'[2]VariablesINPUT-FCC'!#REF!</definedName>
    <definedName name="COunty" localSheetId="3">'[1]VariablesINPUT-CTR'!#REF!</definedName>
    <definedName name="COunty">'VariablesINPUT-CTR'!#REF!</definedName>
    <definedName name="Education_Program__by_child" localSheetId="8">'[4]Nonpersonnel Aggregated'!$B$23</definedName>
    <definedName name="Education_Program__by_child" localSheetId="2">#REF!</definedName>
    <definedName name="Education_Program__by_child">#REF!</definedName>
    <definedName name="EnhRatio" localSheetId="8">#REF!</definedName>
    <definedName name="EnhRatio" localSheetId="2">'[2]VariablesINPUT-FCC'!#REF!</definedName>
    <definedName name="EnhRatio" localSheetId="3">'[1]VariablesINPUT-CTR'!#REF!</definedName>
    <definedName name="EnhRatio">'VariablesINPUT-CTR'!#REF!</definedName>
    <definedName name="EnhSpace" localSheetId="8">#REF!</definedName>
    <definedName name="EnhSpace" localSheetId="2">'[2]VariablesINPUT-FCC'!#REF!</definedName>
    <definedName name="EnhSpace" localSheetId="3">'[1]VariablesINPUT-CTR'!#REF!</definedName>
    <definedName name="EnhSpace">'VariablesINPUT-CTR'!#REF!</definedName>
    <definedName name="EnrollEffic" localSheetId="8">#REF!</definedName>
    <definedName name="EnrollEffic" localSheetId="2">'[2]VariablesINPUT-FCC'!$D$49</definedName>
    <definedName name="EnrollEffic" localSheetId="3">'[1]VariablesINPUT-CTR'!$E$41</definedName>
    <definedName name="EnrollEffic">'VariablesINPUT-CTR'!$E$46</definedName>
    <definedName name="Floater_Assts" localSheetId="8">#REF!</definedName>
    <definedName name="Floater_Assts" localSheetId="3">'[1]Quality Center Profile'!$D$28</definedName>
    <definedName name="Floater_Assts">'Quality Center Profile'!$D$28</definedName>
    <definedName name="Fours" localSheetId="8">'[3]Quality Center Profile'!#REF!</definedName>
    <definedName name="Fours" localSheetId="2">'[2]Quality Home Profile'!#REF!</definedName>
    <definedName name="Fours" localSheetId="3">'[1]Quality Center Profile'!#REF!</definedName>
    <definedName name="Fours">'Quality Center Profile'!#REF!</definedName>
    <definedName name="Fours_City_Target_Subsidies">'[5]VariablesINPUT-CTR'!$E$29</definedName>
    <definedName name="Fours_Contract">'[4]VariablesINPUT-CTR'!$D$29</definedName>
    <definedName name="Fours_Private_Tuition" localSheetId="8">'[4]VariablesINPUT-CTR'!$F$29</definedName>
    <definedName name="Fours_Private_Tuition" localSheetId="2">'[2]VariablesINPUT-FCC'!#REF!</definedName>
    <definedName name="Fours_Private_Tuition" localSheetId="3">'[1]VariablesINPUT-CTR'!#REF!</definedName>
    <definedName name="Fours_Private_Tuition">'VariablesINPUT-CTR'!#REF!</definedName>
    <definedName name="FOURS_Tuition" localSheetId="8">#REF!</definedName>
    <definedName name="FOURS_Tuition" localSheetId="2">#REF!</definedName>
    <definedName name="FOURS_Tuition">#REF!</definedName>
    <definedName name="Fours_Voucher">'[4]VariablesINPUT-CTR'!$C$29</definedName>
    <definedName name="FoursClassrooms" localSheetId="8">'[3]Quality Center Profile'!#REF!</definedName>
    <definedName name="FoursClassrooms" localSheetId="2">'[2]Quality Home Profile'!#REF!</definedName>
    <definedName name="FoursClassrooms" localSheetId="3">'[1]Quality Center Profile'!#REF!</definedName>
    <definedName name="FoursClassrooms">'Quality Center Profile'!#REF!</definedName>
    <definedName name="HealthIns" localSheetId="8">#REF!</definedName>
    <definedName name="HealthIns" localSheetId="2">'[2]VariablesINPUT-FCC'!$D$44</definedName>
    <definedName name="HealthIns" localSheetId="3">'[1]VariablesINPUT-CTR'!$D$37</definedName>
    <definedName name="HealthIns">'VariablesINPUT-CTR'!$D$41</definedName>
    <definedName name="HealthInsFCC" localSheetId="8">'[3]VariablesINPUT-FCC'!$D$20</definedName>
    <definedName name="HealthInsFCC" localSheetId="2">#REF!</definedName>
    <definedName name="HealthInsFCC">#REF!</definedName>
    <definedName name="Infant_Aides" localSheetId="8">#REF!</definedName>
    <definedName name="Infant_Aides" localSheetId="2">'[2]Quality Home Profile'!#REF!</definedName>
    <definedName name="Infant_Aides" localSheetId="3">'[1]Quality Center Profile'!#REF!</definedName>
    <definedName name="Infant_Aides">'Quality Center Profile'!#REF!</definedName>
    <definedName name="Infant_Assts" localSheetId="8">'[5]Quality Center Profile'!#REF!</definedName>
    <definedName name="Infant_Assts" localSheetId="2">'[2]Quality Home Profile'!#REF!</definedName>
    <definedName name="Infant_Assts" localSheetId="3">'[1]Quality Center Profile'!#REF!</definedName>
    <definedName name="Infant_Assts">'Quality Center Profile'!#REF!</definedName>
    <definedName name="INFANT_Tuition" localSheetId="8">#REF!</definedName>
    <definedName name="INFANT_Tuition" localSheetId="2">#REF!</definedName>
    <definedName name="INFANT_Tuition">#REF!</definedName>
    <definedName name="InfantClassrooms" localSheetId="8">#REF!</definedName>
    <definedName name="InfantClassrooms" localSheetId="3">'[1]Quality Center Profile'!$F$7</definedName>
    <definedName name="InfantClassrooms">'Quality Center Profile'!$F$7</definedName>
    <definedName name="Infants" localSheetId="8">#REF!</definedName>
    <definedName name="Infants" localSheetId="2">'[2]Quality Home Profile'!$A$7</definedName>
    <definedName name="Infants" localSheetId="3">'[1]Quality Center Profile'!$A$7</definedName>
    <definedName name="Infants">'Quality Center Profile'!$A$7</definedName>
    <definedName name="Infants_City_Target_Subsidies">'[5]VariablesINPUT-CTR'!$E$26</definedName>
    <definedName name="Infants_Contract">'[4]VariablesINPUT-CTR'!$D$26</definedName>
    <definedName name="Infants_Private_Tuition" localSheetId="8">'[4]VariablesINPUT-CTR'!$F$26</definedName>
    <definedName name="Infants_Private_Tuition" localSheetId="2">'[2]VariablesINPUT-FCC'!#REF!</definedName>
    <definedName name="Infants_Private_Tuition" localSheetId="3">'[1]VariablesINPUT-CTR'!#REF!</definedName>
    <definedName name="Infants_Private_Tuition">'VariablesINPUT-CTR'!#REF!</definedName>
    <definedName name="Infants_Voucher">'[4]VariablesINPUT-CTR'!$C$26</definedName>
    <definedName name="Kinder" localSheetId="8">#REF!</definedName>
    <definedName name="Kinder" localSheetId="2">'[2]VariablesINPUT-FCC'!#REF!</definedName>
    <definedName name="Kinder" localSheetId="3">'[1]VariablesINPUT-CTR'!#REF!</definedName>
    <definedName name="Kinder">'VariablesINPUT-CTR'!#REF!</definedName>
    <definedName name="KinderParity" localSheetId="8">#REF!</definedName>
    <definedName name="KinderParity" localSheetId="2">#REF!</definedName>
    <definedName name="KinderParity">#REF!</definedName>
    <definedName name="LeadTeacher" localSheetId="8">#REF!</definedName>
    <definedName name="LeadTeacher" localSheetId="2">'[2]Quality Home Profile'!#REF!</definedName>
    <definedName name="LeadTeacher" localSheetId="3">'[1]Quality Center Profile'!$D$22</definedName>
    <definedName name="LeadTeacher">'Quality Center Profile'!$D$24</definedName>
    <definedName name="LeadTeacherIT" localSheetId="2">'[2]Quality Home Profile'!#REF!</definedName>
    <definedName name="LeadTeacherIT">'Quality Center Profile'!$D$24</definedName>
    <definedName name="MandatoryBenefits" localSheetId="8">#REF!</definedName>
    <definedName name="MandatoryBenefits" localSheetId="2">'[2]Quality Home Profile'!#REF!</definedName>
    <definedName name="MandatoryBenefits" localSheetId="3">'[1]Quality Center Profile'!$D$44</definedName>
    <definedName name="MandatoryBenefits">'Quality Center Profile'!$D$44</definedName>
    <definedName name="MinWage" localSheetId="8">#REF!</definedName>
    <definedName name="MinWage" localSheetId="2">'[2]VariablesINPUT-FCC'!#REF!</definedName>
    <definedName name="MinWage" localSheetId="3">'[1]VariablesINPUT-CTR'!#REF!</definedName>
    <definedName name="MinWage">'VariablesINPUT-CTR'!#REF!</definedName>
    <definedName name="ModelScale" localSheetId="8">#REF!</definedName>
    <definedName name="ModelScale" localSheetId="2">'[2]VariablesINPUT-FCC'!#REF!</definedName>
    <definedName name="ModelScale" localSheetId="3">'[1]VariablesINPUT-CTR'!#REF!</definedName>
    <definedName name="ModelScale">'VariablesINPUT-CTR'!#REF!</definedName>
    <definedName name="Nonpersonnel" localSheetId="8">#REF!</definedName>
    <definedName name="Nonpersonnel" localSheetId="3">'[1]Quality Center Profile'!$D$64</definedName>
    <definedName name="Nonpersonnel">'Quality Center Profile'!$D$62</definedName>
    <definedName name="NP_EdProgram" localSheetId="8">#REF!</definedName>
    <definedName name="NP_EdProgram" localSheetId="3">'[1]Quality Center Profile'!$D$60</definedName>
    <definedName name="NP_EdProgram">'Quality Center Profile'!$D$58</definedName>
    <definedName name="NP_MgtAdmin" localSheetId="8">#REF!</definedName>
    <definedName name="NP_MgtAdmin" localSheetId="3">'[1]Quality Center Profile'!$D$62</definedName>
    <definedName name="NP_MgtAdmin">'Quality Center Profile'!$D$60</definedName>
    <definedName name="NP_Occupancy" localSheetId="8">#REF!</definedName>
    <definedName name="NP_Occupancy" localSheetId="3">'[1]Quality Center Profile'!$D$61</definedName>
    <definedName name="NP_Occupancy">'Quality Center Profile'!$D$59</definedName>
    <definedName name="Occupancy">'Quality Center Profile'!$D$59</definedName>
    <definedName name="Occupancy__by_classroom" localSheetId="8">'[6]Aggregated Data'!$B$29</definedName>
    <definedName name="Occupancy__by_classroom" localSheetId="2">#REF!</definedName>
    <definedName name="Occupancy__by_classroom">#REF!</definedName>
    <definedName name="Ones_Private_Tuition" localSheetId="8">'VariablesINPUT-CTR'!#REF!</definedName>
    <definedName name="Ones_Private_Tuition" localSheetId="2">'[2]VariablesINPUT-FCC'!#REF!</definedName>
    <definedName name="Ones_Private_Tuition" localSheetId="3">'[1]VariablesINPUT-CTR'!#REF!</definedName>
    <definedName name="Ones_Private_Tuition">'VariablesINPUT-CTR'!#REF!</definedName>
    <definedName name="Paid_Leave" localSheetId="8">#REF!</definedName>
    <definedName name="Paid_Leave" localSheetId="2">'[2]VariablesINPUT-FCC'!$D$46</definedName>
    <definedName name="Paid_Leave" localSheetId="3">'[1]VariablesINPUT-CTR'!$D$39</definedName>
    <definedName name="Paid_Leave">'VariablesINPUT-CTR'!$D$43</definedName>
    <definedName name="PaidLeaveFCC" localSheetId="8">'[3]VariablesINPUT-FCC'!$D$22</definedName>
    <definedName name="PaidLeaveFCC" localSheetId="2">#REF!</definedName>
    <definedName name="PaidLeaveFCC">#REF!</definedName>
    <definedName name="Personnel" localSheetId="8">'[3]Quality Center Profile'!$D$40</definedName>
    <definedName name="Personnel" localSheetId="2">'[2]Quality Home Profile'!#REF!</definedName>
    <definedName name="Personnel" localSheetId="3">'[1]Quality Center Profile'!$D$47</definedName>
    <definedName name="Personnel">'Quality Center Profile'!$D$47</definedName>
    <definedName name="Pre3Children">'[7]Quality Center Profile'!$A$9</definedName>
    <definedName name="Pre4Children">'[7]Quality Center Profile'!$A$10</definedName>
    <definedName name="Pre4classroom">'[7]Quality Center Profile'!$F$10</definedName>
    <definedName name="Preschool_Aides" localSheetId="8">#REF!</definedName>
    <definedName name="Preschool_Aides" localSheetId="2">'[2]Quality Home Profile'!#REF!</definedName>
    <definedName name="Preschool_Aides" localSheetId="3">'[1]Quality Center Profile'!#REF!</definedName>
    <definedName name="Preschool_Aides">'Quality Center Profile'!#REF!</definedName>
    <definedName name="PreschoolClassrooms" localSheetId="8">#REF!</definedName>
    <definedName name="PreschoolClassrooms" localSheetId="2">'[2]Quality Home Profile'!#REF!</definedName>
    <definedName name="PreschoolClassrooms" localSheetId="3">'[1]Quality Center Profile'!#REF!</definedName>
    <definedName name="PreschoolClassrooms">'Quality Center Profile'!#REF!</definedName>
    <definedName name="Preschoolers" localSheetId="8">#REF!</definedName>
    <definedName name="Preschoolers" localSheetId="2">'[2]Quality Home Profile'!$A$9</definedName>
    <definedName name="Preschoolers" localSheetId="3">'[1]Quality Center Profile'!$A$9</definedName>
    <definedName name="Preschoolers">'Quality Center Profile'!$A$12</definedName>
    <definedName name="PreschoolersClassroom" localSheetId="8">'[3]Quality Center Profile'!$F$9</definedName>
    <definedName name="PreschoolersClassroom" localSheetId="3">'[1]Quality Center Profile'!$F$9</definedName>
    <definedName name="PreschoolersClassroom">'Quality Center Profile'!$F$12</definedName>
    <definedName name="_xlnm.Print_Area" localSheetId="0">'VariablesINPUT-CTR'!$A$1:$K$104</definedName>
    <definedName name="ProfDev" localSheetId="8">#REF!</definedName>
    <definedName name="ProfDev" localSheetId="2">'[2]VariablesINPUT-FCC'!#REF!</definedName>
    <definedName name="ProfDev" localSheetId="3">'[1]VariablesINPUT-CTR'!#REF!</definedName>
    <definedName name="ProfDev">'VariablesINPUT-CTR'!#REF!</definedName>
    <definedName name="QualityVarCost" localSheetId="2">'[2]Quality Home Profile'!$D$50</definedName>
    <definedName name="QualityVarCost" localSheetId="3">'[1]Quality Center Profile'!$D$57</definedName>
    <definedName name="QualityVarCost">'Quality Center Profile'!#REF!</definedName>
    <definedName name="QualLevel">'[7]VariablesINPUT-CTR'!$G$1</definedName>
    <definedName name="RatioOpt" localSheetId="8">#REF!</definedName>
    <definedName name="RatioOpt" localSheetId="2">'[2]VariablesINPUT-FCC'!#REF!</definedName>
    <definedName name="RatioOpt" localSheetId="3">'[1]VariablesINPUT-CTR'!#REF!</definedName>
    <definedName name="RatioOpt">'VariablesINPUT-CTR'!#REF!</definedName>
    <definedName name="Region" localSheetId="8">#REF!</definedName>
    <definedName name="Region" localSheetId="2">'[2]VariablesINPUT-FCC'!#REF!</definedName>
    <definedName name="Region" localSheetId="3">'[1]VariablesINPUT-CTR'!#REF!</definedName>
    <definedName name="Region">'VariablesINPUT-CTR'!#REF!</definedName>
    <definedName name="RegionFCC" localSheetId="8">'[3]VariablesINPUT-FCC'!$F$2</definedName>
    <definedName name="RegionFCC" localSheetId="2">#REF!</definedName>
    <definedName name="RegionFCC">#REF!</definedName>
    <definedName name="Reserve_Fund" localSheetId="8">#REF!</definedName>
    <definedName name="Reserve_Fund" localSheetId="2">'[2]Quality Home Profile'!$D$59</definedName>
    <definedName name="Reserve_Fund" localSheetId="3">'[1]Quality Center Profile'!$D$66</definedName>
    <definedName name="Reserve_Fund">'Quality Center Profile'!$D$64</definedName>
    <definedName name="Salary" localSheetId="8">#REF!</definedName>
    <definedName name="Salary" localSheetId="2">'[2]VariablesINPUT-FCC'!#REF!</definedName>
    <definedName name="Salary" localSheetId="3">'[1]VariablesINPUT-CTR'!#REF!</definedName>
    <definedName name="Salary">'VariablesINPUT-CTR'!#REF!</definedName>
    <definedName name="SalaryData" localSheetId="8">#REF!</definedName>
    <definedName name="SalaryData" localSheetId="2">'[2]VariablesINPUT-FCC'!#REF!</definedName>
    <definedName name="SalaryData" localSheetId="3">'[1]VariablesINPUT-CTR'!#REF!</definedName>
    <definedName name="SalaryData">'VariablesINPUT-CTR'!#REF!</definedName>
    <definedName name="SalaryLevel" localSheetId="8">#REF!</definedName>
    <definedName name="SalaryLevel" localSheetId="2">'[2]VariablesINPUT-FCC'!#REF!</definedName>
    <definedName name="SalaryLevel" localSheetId="3">'[1]VariablesINPUT-CTR'!#REF!</definedName>
    <definedName name="SalaryLevel">'VariablesINPUT-CTR'!#REF!</definedName>
    <definedName name="SalaryScale" localSheetId="8">#REF!</definedName>
    <definedName name="SalaryScale" localSheetId="2">'[2]VariablesINPUT-FCC'!#REF!</definedName>
    <definedName name="SalaryScale" localSheetId="3">'[1]VariablesINPUT-CTR'!#REF!</definedName>
    <definedName name="SalaryScale">'VariablesINPUT-CTR'!#REF!</definedName>
    <definedName name="SalaryScaleFCC" localSheetId="8">'[3]VariablesINPUT-FCC'!$D$16</definedName>
    <definedName name="SalaryScaleFCC" localSheetId="2">#REF!</definedName>
    <definedName name="SalaryScaleFCC">#REF!</definedName>
    <definedName name="SchoolageClassroom" localSheetId="8">'[7]Quality Center Profile'!$F$11</definedName>
    <definedName name="SchoolageClassroom" localSheetId="3">'[1]Quality Center Profile'!$F$10</definedName>
    <definedName name="SchoolageClassroom">'Quality Center Profile'!A1</definedName>
    <definedName name="Schoolagers" localSheetId="8">'Quality Center Profile'!#REF!</definedName>
    <definedName name="Schoolagers" localSheetId="2">'[2]Quality Home Profile'!$A$10</definedName>
    <definedName name="Schoolagers" localSheetId="3">'[1]Quality Center Profile'!$A$10</definedName>
    <definedName name="Schoolagers">'Quality Center Profile'!#REF!</definedName>
    <definedName name="Sick_Days" localSheetId="8">#REF!</definedName>
    <definedName name="Sick_Days" localSheetId="2">'[2]VariablesINPUT-FCC'!$D$45</definedName>
    <definedName name="Sick_Days" localSheetId="3">'[1]VariablesINPUT-CTR'!$D$38</definedName>
    <definedName name="Sick_Days">'VariablesINPUT-CTR'!$D$42</definedName>
    <definedName name="SickDaysFCC" localSheetId="8">'[3]VariablesINPUT-FCC'!$D$21</definedName>
    <definedName name="SickDaysFCC" localSheetId="2">#REF!</definedName>
    <definedName name="SickDaysFCC">#REF!</definedName>
    <definedName name="StarLevel" localSheetId="8">#REF!</definedName>
    <definedName name="StarLevel" localSheetId="2">'[2]VariablesINPUT-FCC'!#REF!</definedName>
    <definedName name="StarLevel" localSheetId="3">'[1]VariablesINPUT-CTR'!#REF!</definedName>
    <definedName name="StarLevel">'VariablesINPUT-CTR'!#REF!</definedName>
    <definedName name="Subs" localSheetId="8">#REF!</definedName>
    <definedName name="Subs" localSheetId="3">'[1]Quality Center Profile'!$D$36</definedName>
    <definedName name="Subs">'Quality Center Profile'!$D$36</definedName>
    <definedName name="Threes" localSheetId="8">'[3]Quality Center Profile'!#REF!</definedName>
    <definedName name="Threes" localSheetId="2">'[2]Quality Home Profile'!#REF!</definedName>
    <definedName name="Threes" localSheetId="3">'[1]Quality Center Profile'!#REF!</definedName>
    <definedName name="Threes">'Quality Center Profile'!#REF!</definedName>
    <definedName name="Threes_City_Target_Subsidies">'[5]VariablesINPUT-CTR'!$E$28</definedName>
    <definedName name="Threes_Contract">'[4]VariablesINPUT-CTR'!$D$28</definedName>
    <definedName name="Threes_Private_Tuition" localSheetId="8">'[4]VariablesINPUT-CTR'!$F$28</definedName>
    <definedName name="Threes_Private_Tuition" localSheetId="2">'[2]VariablesINPUT-FCC'!#REF!</definedName>
    <definedName name="Threes_Private_Tuition" localSheetId="3">'[1]VariablesINPUT-CTR'!#REF!</definedName>
    <definedName name="Threes_Private_Tuition">'VariablesINPUT-CTR'!#REF!</definedName>
    <definedName name="THREES_tuition" localSheetId="8">#REF!</definedName>
    <definedName name="THREES_tuition" localSheetId="2">#REF!</definedName>
    <definedName name="THREES_tuition">#REF!</definedName>
    <definedName name="Threes_Voucher">'[4]VariablesINPUT-CTR'!$C$28</definedName>
    <definedName name="ThreesClassroom" localSheetId="8">'[3]Quality Center Profile'!#REF!</definedName>
    <definedName name="ThreesClassroom" localSheetId="2">'[2]Quality Home Profile'!#REF!</definedName>
    <definedName name="ThreesClassroom" localSheetId="3">'[1]Quality Center Profile'!#REF!</definedName>
    <definedName name="ThreesClassroom">'Quality Center Profile'!#REF!</definedName>
    <definedName name="ThreesClassrooms" localSheetId="8">'[3]Quality Center Profile'!#REF!</definedName>
    <definedName name="ThreesClassrooms" localSheetId="2">'[2]Quality Home Profile'!#REF!</definedName>
    <definedName name="ThreesClassrooms" localSheetId="3">'[1]Quality Center Profile'!#REF!</definedName>
    <definedName name="ThreesClassrooms">'Quality Center Profile'!#REF!</definedName>
    <definedName name="TODDLER_Tuition" localSheetId="8">#REF!</definedName>
    <definedName name="TODDLER_Tuition" localSheetId="2">#REF!</definedName>
    <definedName name="TODDLER_Tuition">#REF!</definedName>
    <definedName name="ToddlerClassrooms" localSheetId="8">#REF!</definedName>
    <definedName name="ToddlerClassrooms" localSheetId="3">'[1]Quality Center Profile'!$F$8</definedName>
    <definedName name="ToddlerClassrooms">'Quality Center Profile'!$F$11</definedName>
    <definedName name="Toddlers" localSheetId="8">#REF!</definedName>
    <definedName name="Toddlers" localSheetId="2">'[2]Quality Home Profile'!$A$8</definedName>
    <definedName name="Toddlers" localSheetId="3">'[1]Quality Center Profile'!$A$8</definedName>
    <definedName name="Toddlers">'Quality Center Profile'!$A$11</definedName>
    <definedName name="Toddlers_City_Target_Subsidies">'[5]VariablesINPUT-CTR'!$E$27</definedName>
    <definedName name="Toddlers_Contract">'[4]VariablesINPUT-CTR'!$D$27</definedName>
    <definedName name="Toddlers_Private_Tuition">'[4]VariablesINPUT-CTR'!$F$27</definedName>
    <definedName name="Toddlers_Voucher">'[4]VariablesINPUT-CTR'!$C$27</definedName>
    <definedName name="TOTAL_Children" localSheetId="8">#REF!</definedName>
    <definedName name="TOTAL_Children" localSheetId="2">#REF!</definedName>
    <definedName name="TOTAL_Children">#REF!</definedName>
    <definedName name="TotalChildren" localSheetId="8">#REF!</definedName>
    <definedName name="TotalChildren" localSheetId="2">'[2]Quality Home Profile'!$A$11</definedName>
    <definedName name="TotalChildren" localSheetId="3">'[1]Quality Center Profile'!$A$11</definedName>
    <definedName name="TotalChildren">'Quality Center Profile'!$A$13</definedName>
    <definedName name="TotalClassrooms" localSheetId="8">#REF!</definedName>
    <definedName name="TotalClassrooms" localSheetId="2">'[2]Quality Home Profile'!#REF!</definedName>
    <definedName name="TotalClassrooms" localSheetId="3">'[1]Quality Center Profile'!$F$11</definedName>
    <definedName name="TotalClassrooms">'Quality Center Profile'!$F$13</definedName>
    <definedName name="Twos" localSheetId="8">'[8]Quality Center Profile'!$A$9</definedName>
    <definedName name="Twos">'Quality Center Profile'!$A$12</definedName>
    <definedName name="Twos_Private_Tuition" localSheetId="8">#REF!</definedName>
    <definedName name="Twos_Private_Tuition" localSheetId="2">'[2]VariablesINPUT-FCC'!#REF!</definedName>
    <definedName name="Twos_Private_Tuition" localSheetId="3">'[1]VariablesINPUT-CTR'!#REF!</definedName>
    <definedName name="Twos_Private_Tuition">'VariablesINPUT-CTR'!#REF!</definedName>
    <definedName name="TwosClassroom">'Quality Center Profile'!$F$12</definedName>
    <definedName name="TwosClassrooms" localSheetId="8">'[8]Quality Center Profile'!$F$9</definedName>
    <definedName name="TwosClassrooms">'Quality Center Profile'!$F$12</definedName>
    <definedName name="User" localSheetId="8">#REF!</definedName>
    <definedName name="User" localSheetId="2">'[2]VariablesINPUT-FCC'!#REF!</definedName>
    <definedName name="User" localSheetId="3">'[1]VariablesINPUT-CTR'!#REF!</definedName>
    <definedName name="User">'VariablesINPUT-CTR'!#REF!</definedName>
    <definedName name="VOUCHER_Fours" localSheetId="8">#REF!</definedName>
    <definedName name="VOUCHER_Fours" localSheetId="2">#REF!</definedName>
    <definedName name="VOUCHER_Fours">#REF!</definedName>
    <definedName name="VOUCHER_Infants" localSheetId="8">#REF!</definedName>
    <definedName name="VOUCHER_Infants" localSheetId="2">#REF!</definedName>
    <definedName name="VOUCHER_Infants">#REF!</definedName>
    <definedName name="VOUCHER_Threes" localSheetId="8">#REF!</definedName>
    <definedName name="VOUCHER_Threes" localSheetId="2">#REF!</definedName>
    <definedName name="VOUCHER_Threes">#REF!</definedName>
    <definedName name="VOUCHER_Toddlers" localSheetId="8">#REF!</definedName>
    <definedName name="VOUCHER_Toddlers" localSheetId="2">#REF!</definedName>
    <definedName name="VOUCHER_Toddlers">#REF!</definedName>
    <definedName name="VPIchildren">'[7]Quality Center Profile'!#REF!</definedName>
    <definedName name="VPIClassroom">'[7]Quality Center Profile'!#REF!</definedName>
    <definedName name="Yes" localSheetId="8">#REF!</definedName>
    <definedName name="Yes" localSheetId="2">'[2]VariablesINPUT-FCC'!#REF!</definedName>
    <definedName name="Yes" localSheetId="3">'[1]VariablesINPUT-CTR'!#REF!</definedName>
    <definedName name="Yes">'VariablesINPUT-CTR'!#REF!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10" l="1"/>
  <c r="G4" i="110"/>
  <c r="F4" i="110"/>
  <c r="F11" i="110"/>
  <c r="E11" i="110"/>
  <c r="D11" i="110"/>
  <c r="B11" i="110"/>
  <c r="F14" i="35" l="1"/>
  <c r="F13" i="35"/>
  <c r="F12" i="35"/>
  <c r="F11" i="35"/>
  <c r="F10" i="35"/>
  <c r="F9" i="35"/>
  <c r="E14" i="35"/>
  <c r="E13" i="35"/>
  <c r="E12" i="35"/>
  <c r="E11" i="35"/>
  <c r="E10" i="35"/>
  <c r="E9" i="35"/>
  <c r="F47" i="110" l="1"/>
  <c r="I29" i="111" l="1"/>
  <c r="F49" i="110" l="1"/>
  <c r="E49" i="110"/>
  <c r="E50" i="110"/>
  <c r="C50" i="110"/>
  <c r="D50" i="110"/>
  <c r="F50" i="110"/>
  <c r="C51" i="110"/>
  <c r="D51" i="110"/>
  <c r="E51" i="110"/>
  <c r="F51" i="110"/>
  <c r="C52" i="110"/>
  <c r="D52" i="110"/>
  <c r="E52" i="110"/>
  <c r="F52" i="110"/>
  <c r="C53" i="110"/>
  <c r="D53" i="110"/>
  <c r="E53" i="110"/>
  <c r="F53" i="110"/>
  <c r="C54" i="110"/>
  <c r="D54" i="110"/>
  <c r="E54" i="110"/>
  <c r="F54" i="110"/>
  <c r="B51" i="110"/>
  <c r="B52" i="110"/>
  <c r="B53" i="110"/>
  <c r="B54" i="110"/>
  <c r="B50" i="110"/>
  <c r="A51" i="110"/>
  <c r="A52" i="110"/>
  <c r="A53" i="110"/>
  <c r="A54" i="110"/>
  <c r="A50" i="110"/>
  <c r="L67" i="35"/>
  <c r="N74" i="35" l="1"/>
  <c r="O74" i="35"/>
  <c r="D5" i="110"/>
  <c r="D6" i="110"/>
  <c r="E40" i="111" l="1"/>
  <c r="D4" i="110" l="1"/>
  <c r="C11" i="110" l="1"/>
  <c r="I11" i="110" s="1"/>
  <c r="E4" i="110"/>
  <c r="G29" i="111" l="1"/>
  <c r="G17" i="111"/>
  <c r="E47" i="110" l="1"/>
  <c r="E46" i="110"/>
  <c r="F9" i="110"/>
  <c r="F8" i="110"/>
  <c r="F7" i="110"/>
  <c r="F6" i="110"/>
  <c r="E9" i="110"/>
  <c r="E8" i="110"/>
  <c r="E7" i="110"/>
  <c r="E6" i="110"/>
  <c r="E5" i="110"/>
  <c r="D9" i="110"/>
  <c r="D8" i="110"/>
  <c r="D7" i="110"/>
  <c r="B9" i="110"/>
  <c r="B8" i="110"/>
  <c r="B7" i="110"/>
  <c r="B6" i="110"/>
  <c r="B5" i="110" s="1"/>
  <c r="B4" i="110"/>
  <c r="I78" i="77"/>
  <c r="I77" i="77"/>
  <c r="I76" i="77"/>
  <c r="I75" i="77"/>
  <c r="I74" i="77"/>
  <c r="I73" i="77"/>
  <c r="B72" i="77"/>
  <c r="I71" i="77"/>
  <c r="I70" i="77"/>
  <c r="I69" i="77"/>
  <c r="I68" i="77"/>
  <c r="B68" i="77"/>
  <c r="I67" i="77"/>
  <c r="B67" i="77"/>
  <c r="I66" i="77"/>
  <c r="B66" i="77"/>
  <c r="I65" i="77"/>
  <c r="B65" i="77"/>
  <c r="I64" i="77"/>
  <c r="B64" i="77"/>
  <c r="I63" i="77"/>
  <c r="B63" i="77"/>
  <c r="I62" i="77"/>
  <c r="I61" i="77"/>
  <c r="I60" i="77"/>
  <c r="B60" i="77"/>
  <c r="I59" i="77"/>
  <c r="I58" i="77"/>
  <c r="B58" i="77"/>
  <c r="I57" i="77"/>
  <c r="I56" i="77"/>
  <c r="I55" i="77"/>
  <c r="B53" i="77"/>
  <c r="B52" i="77"/>
  <c r="B51" i="77"/>
  <c r="B50" i="77"/>
  <c r="B49" i="77"/>
  <c r="H46" i="77"/>
  <c r="D46" i="77"/>
  <c r="H44" i="77"/>
  <c r="D44" i="77"/>
  <c r="H38" i="77"/>
  <c r="I35" i="77"/>
  <c r="J35" i="77" s="1"/>
  <c r="H35" i="77"/>
  <c r="J34" i="77"/>
  <c r="J33" i="77"/>
  <c r="J32" i="77"/>
  <c r="H30" i="77"/>
  <c r="C30" i="77"/>
  <c r="D30" i="77" s="1"/>
  <c r="I29" i="77"/>
  <c r="J29" i="77" s="1"/>
  <c r="I28" i="77"/>
  <c r="J28" i="77" s="1"/>
  <c r="I27" i="77"/>
  <c r="J27" i="77" s="1"/>
  <c r="I26" i="77"/>
  <c r="J26" i="77" s="1"/>
  <c r="I25" i="77"/>
  <c r="H23" i="77"/>
  <c r="I72" i="77" s="1"/>
  <c r="I22" i="77"/>
  <c r="J22" i="77" s="1"/>
  <c r="J21" i="77"/>
  <c r="I20" i="77"/>
  <c r="J20" i="77" s="1"/>
  <c r="I19" i="77"/>
  <c r="J19" i="77" s="1"/>
  <c r="I18" i="77"/>
  <c r="J18" i="77" s="1"/>
  <c r="I17" i="77"/>
  <c r="J17" i="77" s="1"/>
  <c r="B59" i="77"/>
  <c r="I16" i="77"/>
  <c r="J16" i="77" s="1"/>
  <c r="I15" i="77"/>
  <c r="J15" i="77" s="1"/>
  <c r="I14" i="77"/>
  <c r="I13" i="77"/>
  <c r="J13" i="77" s="1"/>
  <c r="I12" i="77"/>
  <c r="J12" i="77" s="1"/>
  <c r="I11" i="77"/>
  <c r="J11" i="77" s="1"/>
  <c r="C11" i="77"/>
  <c r="D11" i="77" s="1"/>
  <c r="I10" i="77"/>
  <c r="J10" i="77" s="1"/>
  <c r="C10" i="77"/>
  <c r="D10" i="77" s="1"/>
  <c r="I9" i="77"/>
  <c r="J9" i="77" s="1"/>
  <c r="I8" i="77"/>
  <c r="J8" i="77" s="1"/>
  <c r="C8" i="77"/>
  <c r="D8" i="77" s="1"/>
  <c r="I7" i="77"/>
  <c r="J7" i="77" s="1"/>
  <c r="I6" i="77"/>
  <c r="H3" i="77"/>
  <c r="I30" i="77" l="1"/>
  <c r="I39" i="77" s="1"/>
  <c r="I45" i="77" s="1"/>
  <c r="I46" i="77"/>
  <c r="H39" i="77"/>
  <c r="H45" i="77" s="1"/>
  <c r="H41" i="77"/>
  <c r="I44" i="77"/>
  <c r="I38" i="77"/>
  <c r="I41" i="77" s="1"/>
  <c r="J25" i="77"/>
  <c r="J30" i="77" s="1"/>
  <c r="J39" i="77" s="1"/>
  <c r="J45" i="77" s="1"/>
  <c r="I23" i="77"/>
  <c r="J14" i="77"/>
  <c r="J46" i="77" s="1"/>
  <c r="K46" i="77" s="1"/>
  <c r="J6" i="77"/>
  <c r="J44" i="77" l="1"/>
  <c r="J38" i="77"/>
  <c r="J41" i="77" s="1"/>
  <c r="L8" i="112" l="1"/>
  <c r="H8" i="112"/>
  <c r="J8" i="112" s="1"/>
  <c r="L7" i="112"/>
  <c r="H7" i="112"/>
  <c r="J7" i="112" s="1"/>
  <c r="L6" i="112"/>
  <c r="H6" i="112"/>
  <c r="J6" i="112" s="1"/>
  <c r="A54" i="1"/>
  <c r="B15" i="35"/>
  <c r="D29" i="111" l="1"/>
  <c r="E29" i="111"/>
  <c r="C4" i="77"/>
  <c r="E21" i="111"/>
  <c r="D85" i="1" l="1"/>
  <c r="C87" i="35" s="1"/>
  <c r="A84" i="1"/>
  <c r="A83" i="1"/>
  <c r="A82" i="1"/>
  <c r="A81" i="1"/>
  <c r="A78" i="1"/>
  <c r="A79" i="1"/>
  <c r="B92" i="35"/>
  <c r="C69" i="1"/>
  <c r="C68" i="1"/>
  <c r="D11" i="109"/>
  <c r="C90" i="1"/>
  <c r="C89" i="1"/>
  <c r="C26" i="35"/>
  <c r="C27" i="35" s="1"/>
  <c r="D26" i="35"/>
  <c r="E26" i="35"/>
  <c r="E19" i="1"/>
  <c r="E12" i="110"/>
  <c r="C4" i="110"/>
  <c r="A80" i="1"/>
  <c r="A77" i="1"/>
  <c r="F68" i="35"/>
  <c r="F69" i="35"/>
  <c r="F70" i="35"/>
  <c r="F71" i="35"/>
  <c r="F72" i="35"/>
  <c r="Q12" i="1"/>
  <c r="Q13" i="1" s="1"/>
  <c r="F12" i="1"/>
  <c r="A26" i="1" s="1"/>
  <c r="F9" i="1"/>
  <c r="F10" i="1"/>
  <c r="F11" i="1"/>
  <c r="B53" i="35"/>
  <c r="B54" i="35"/>
  <c r="B55" i="35"/>
  <c r="B56" i="35"/>
  <c r="B57" i="35"/>
  <c r="B52" i="35"/>
  <c r="D21" i="111"/>
  <c r="B51" i="1"/>
  <c r="B50" i="1"/>
  <c r="C12" i="1"/>
  <c r="C11" i="1"/>
  <c r="C10" i="1"/>
  <c r="A12" i="90"/>
  <c r="A13" i="90"/>
  <c r="A14" i="90"/>
  <c r="A15" i="90"/>
  <c r="A16" i="90"/>
  <c r="A11" i="90"/>
  <c r="C8" i="1"/>
  <c r="F8" i="1"/>
  <c r="B8" i="1"/>
  <c r="G8" i="1" s="1"/>
  <c r="B9" i="1"/>
  <c r="G9" i="1" s="1"/>
  <c r="B10" i="1"/>
  <c r="G10" i="1" s="1"/>
  <c r="B11" i="1"/>
  <c r="G11" i="1" s="1"/>
  <c r="B12" i="1"/>
  <c r="G12" i="1" s="1"/>
  <c r="F34" i="111"/>
  <c r="D34" i="111"/>
  <c r="B55" i="1"/>
  <c r="F30" i="111"/>
  <c r="C30" i="111"/>
  <c r="B30" i="111"/>
  <c r="B54" i="1"/>
  <c r="F26" i="111"/>
  <c r="B26" i="111"/>
  <c r="B53" i="1"/>
  <c r="F22" i="111"/>
  <c r="E22" i="111"/>
  <c r="C22" i="111"/>
  <c r="B22" i="111"/>
  <c r="D22" i="111"/>
  <c r="D52" i="1" s="1"/>
  <c r="C20" i="111"/>
  <c r="C24" i="111" s="1"/>
  <c r="B52" i="1"/>
  <c r="B18" i="111"/>
  <c r="F13" i="111"/>
  <c r="F20" i="111" s="1"/>
  <c r="E13" i="111"/>
  <c r="E20" i="111" s="1"/>
  <c r="D13" i="111"/>
  <c r="D20" i="111" s="1"/>
  <c r="D24" i="111" s="1"/>
  <c r="C13" i="111"/>
  <c r="B13" i="111"/>
  <c r="B20" i="111" s="1"/>
  <c r="B24" i="111" s="1"/>
  <c r="B11" i="111"/>
  <c r="D58" i="35"/>
  <c r="C58" i="35"/>
  <c r="B22" i="35"/>
  <c r="B23" i="35"/>
  <c r="B24" i="35"/>
  <c r="B25" i="35"/>
  <c r="B21" i="35"/>
  <c r="G11" i="35"/>
  <c r="E54" i="35" s="1"/>
  <c r="D12" i="1"/>
  <c r="D11" i="1"/>
  <c r="D10" i="1"/>
  <c r="D9" i="1"/>
  <c r="D8" i="1"/>
  <c r="C10" i="90"/>
  <c r="B10" i="90"/>
  <c r="C9" i="110"/>
  <c r="E27" i="110"/>
  <c r="F35" i="110"/>
  <c r="E35" i="110"/>
  <c r="E28" i="110"/>
  <c r="E37" i="110"/>
  <c r="F36" i="110"/>
  <c r="E36" i="110"/>
  <c r="F26" i="110"/>
  <c r="F28" i="110"/>
  <c r="B39" i="110"/>
  <c r="C39" i="110" s="1"/>
  <c r="F39" i="110"/>
  <c r="D39" i="110" s="1"/>
  <c r="E39" i="110"/>
  <c r="E38" i="110"/>
  <c r="F29" i="110"/>
  <c r="D29" i="110" s="1"/>
  <c r="E29" i="110"/>
  <c r="B29" i="110" s="1"/>
  <c r="C29" i="110" s="1"/>
  <c r="E26" i="110"/>
  <c r="F25" i="110"/>
  <c r="E25" i="110"/>
  <c r="D21" i="110"/>
  <c r="C21" i="110"/>
  <c r="C19" i="110"/>
  <c r="C18" i="110"/>
  <c r="C17" i="110"/>
  <c r="C16" i="110"/>
  <c r="C15" i="110"/>
  <c r="C7" i="110"/>
  <c r="C6" i="110"/>
  <c r="C5" i="110"/>
  <c r="J11" i="110" l="1"/>
  <c r="G10" i="111" s="1"/>
  <c r="E24" i="1"/>
  <c r="E26" i="1" s="1"/>
  <c r="D26" i="1" s="1"/>
  <c r="E21" i="1"/>
  <c r="E25" i="1"/>
  <c r="E27" i="1" s="1"/>
  <c r="F80" i="35"/>
  <c r="M79" i="35" s="1"/>
  <c r="F79" i="35"/>
  <c r="M78" i="35" s="1"/>
  <c r="F78" i="35"/>
  <c r="M77" i="35" s="1"/>
  <c r="F77" i="35"/>
  <c r="F76" i="35"/>
  <c r="M76" i="35" s="1"/>
  <c r="H64" i="1"/>
  <c r="G10" i="35"/>
  <c r="E53" i="35" s="1"/>
  <c r="H65" i="1"/>
  <c r="H63" i="1"/>
  <c r="H62" i="1"/>
  <c r="H61" i="1"/>
  <c r="A10" i="1"/>
  <c r="E10" i="1" s="1"/>
  <c r="D59" i="35"/>
  <c r="G12" i="35"/>
  <c r="E55" i="35" s="1"/>
  <c r="C9" i="1"/>
  <c r="A9" i="1" s="1"/>
  <c r="E9" i="1" s="1"/>
  <c r="A8" i="1"/>
  <c r="E8" i="1" s="1"/>
  <c r="G14" i="35"/>
  <c r="E57" i="35" s="1"/>
  <c r="A76" i="1" s="1"/>
  <c r="G13" i="35"/>
  <c r="E56" i="35" s="1"/>
  <c r="A11" i="1"/>
  <c r="E11" i="1" s="1"/>
  <c r="A12" i="1"/>
  <c r="F28" i="111"/>
  <c r="F32" i="111" s="1"/>
  <c r="F24" i="111"/>
  <c r="E28" i="111"/>
  <c r="E32" i="111" s="1"/>
  <c r="E24" i="111"/>
  <c r="B28" i="111"/>
  <c r="B32" i="111" s="1"/>
  <c r="F11" i="111"/>
  <c r="C28" i="111"/>
  <c r="C32" i="111" s="1"/>
  <c r="D28" i="111"/>
  <c r="D32" i="111" s="1"/>
  <c r="B28" i="110"/>
  <c r="C28" i="110" s="1"/>
  <c r="C8" i="110"/>
  <c r="B38" i="110"/>
  <c r="C38" i="110" s="1"/>
  <c r="D36" i="110"/>
  <c r="F38" i="110"/>
  <c r="F37" i="110"/>
  <c r="D28" i="110"/>
  <c r="D26" i="110"/>
  <c r="B25" i="110"/>
  <c r="C25" i="110" s="1"/>
  <c r="F27" i="110"/>
  <c r="A74" i="1" l="1"/>
  <c r="B1" i="111"/>
  <c r="E36" i="1"/>
  <c r="E29" i="1"/>
  <c r="E28" i="1"/>
  <c r="E12" i="1"/>
  <c r="A27" i="1" s="1"/>
  <c r="F84" i="35"/>
  <c r="F85" i="35"/>
  <c r="F86" i="35"/>
  <c r="F87" i="35"/>
  <c r="F88" i="35"/>
  <c r="A75" i="1"/>
  <c r="E20" i="1"/>
  <c r="F18" i="111"/>
  <c r="B37" i="110"/>
  <c r="C37" i="110" s="1"/>
  <c r="B36" i="110"/>
  <c r="C36" i="110" s="1"/>
  <c r="D38" i="110"/>
  <c r="D27" i="110"/>
  <c r="D31" i="110" s="1"/>
  <c r="B26" i="110"/>
  <c r="B27" i="110"/>
  <c r="C27" i="110" s="1"/>
  <c r="D37" i="110"/>
  <c r="B35" i="110"/>
  <c r="D41" i="110"/>
  <c r="C26" i="110" l="1"/>
  <c r="C31" i="110"/>
  <c r="C41" i="110"/>
  <c r="C35" i="110"/>
  <c r="E22" i="109" l="1"/>
  <c r="D22" i="109"/>
  <c r="E21" i="109"/>
  <c r="D21" i="109"/>
  <c r="E20" i="109"/>
  <c r="D20" i="109"/>
  <c r="E19" i="109"/>
  <c r="D19" i="109"/>
  <c r="E14" i="109"/>
  <c r="D14" i="109"/>
  <c r="E13" i="109"/>
  <c r="D13" i="109"/>
  <c r="E12" i="109"/>
  <c r="D12" i="109"/>
  <c r="E11" i="109"/>
  <c r="E6" i="109"/>
  <c r="D6" i="109"/>
  <c r="E5" i="109"/>
  <c r="D5" i="109"/>
  <c r="E4" i="109"/>
  <c r="D4" i="109"/>
  <c r="E3" i="109"/>
  <c r="D3" i="109"/>
  <c r="E6" i="108"/>
  <c r="D6" i="108"/>
  <c r="E5" i="108"/>
  <c r="D5" i="108"/>
  <c r="E4" i="108"/>
  <c r="D4" i="108"/>
  <c r="E3" i="108"/>
  <c r="D3" i="108"/>
  <c r="F4" i="108" l="1"/>
  <c r="G76" i="35"/>
  <c r="G77" i="35"/>
  <c r="F5" i="108"/>
  <c r="G78" i="35"/>
  <c r="G79" i="35"/>
  <c r="F3" i="108"/>
  <c r="G75" i="35"/>
  <c r="F6" i="108"/>
  <c r="G80" i="35"/>
  <c r="F84" i="1"/>
  <c r="F80" i="1"/>
  <c r="F83" i="1"/>
  <c r="F79" i="1"/>
  <c r="F77" i="1"/>
  <c r="F82" i="1"/>
  <c r="F81" i="1"/>
  <c r="F78" i="1"/>
  <c r="E27" i="35" l="1"/>
  <c r="D27" i="35"/>
  <c r="F67" i="35"/>
  <c r="F75" i="35" l="1"/>
  <c r="M75" i="35" s="1"/>
  <c r="F83" i="35" l="1"/>
  <c r="D27" i="1"/>
  <c r="L12" i="1" s="1"/>
  <c r="D7" i="1" l="1"/>
  <c r="C7" i="1"/>
  <c r="F7" i="1" l="1"/>
  <c r="E34" i="1" l="1"/>
  <c r="E33" i="1"/>
  <c r="G9" i="35"/>
  <c r="C6" i="111" l="1"/>
  <c r="L17" i="111" s="1"/>
  <c r="E17" i="111" s="1"/>
  <c r="G15" i="35"/>
  <c r="E52" i="35"/>
  <c r="A73" i="1" s="1"/>
  <c r="L10" i="111" l="1"/>
  <c r="A50" i="1" s="1"/>
  <c r="C3" i="77"/>
  <c r="C23" i="77" s="1"/>
  <c r="D23" i="77" s="1"/>
  <c r="C7" i="77"/>
  <c r="C21" i="77"/>
  <c r="C18" i="77"/>
  <c r="D18" i="77" s="1"/>
  <c r="C24" i="77"/>
  <c r="D24" i="77" s="1"/>
  <c r="A51" i="1"/>
  <c r="D30" i="111"/>
  <c r="E58" i="35"/>
  <c r="D60" i="35"/>
  <c r="B6" i="111"/>
  <c r="E10" i="111" s="1"/>
  <c r="A24" i="1"/>
  <c r="F13" i="1"/>
  <c r="C25" i="77" l="1"/>
  <c r="D25" i="77" s="1"/>
  <c r="C16" i="77"/>
  <c r="D16" i="77" s="1"/>
  <c r="C26" i="77"/>
  <c r="D26" i="77" s="1"/>
  <c r="C22" i="77"/>
  <c r="D22" i="77" s="1"/>
  <c r="C17" i="77"/>
  <c r="D17" i="77" s="1"/>
  <c r="C9" i="77"/>
  <c r="D9" i="77" s="1"/>
  <c r="E33" i="111"/>
  <c r="E34" i="111" s="1"/>
  <c r="D55" i="1" s="1"/>
  <c r="A29" i="1"/>
  <c r="D29" i="1" s="1"/>
  <c r="E9" i="111"/>
  <c r="D9" i="111"/>
  <c r="D11" i="111" s="1"/>
  <c r="D21" i="77"/>
  <c r="D7" i="77"/>
  <c r="D72" i="1"/>
  <c r="B2" i="111"/>
  <c r="E30" i="111"/>
  <c r="D54" i="1" s="1"/>
  <c r="E25" i="111"/>
  <c r="E26" i="111" s="1"/>
  <c r="D25" i="111"/>
  <c r="D26" i="111" s="1"/>
  <c r="C9" i="111"/>
  <c r="C11" i="111" s="1"/>
  <c r="C25" i="111"/>
  <c r="C26" i="111" s="1"/>
  <c r="C44" i="1"/>
  <c r="C16" i="111" l="1"/>
  <c r="C18" i="111" s="1"/>
  <c r="D39" i="77"/>
  <c r="E39" i="77" s="1"/>
  <c r="D38" i="77"/>
  <c r="C39" i="77"/>
  <c r="C38" i="77"/>
  <c r="D59" i="1"/>
  <c r="E59" i="1" s="1"/>
  <c r="C84" i="35"/>
  <c r="D53" i="1"/>
  <c r="E11" i="111"/>
  <c r="D50" i="1" s="1"/>
  <c r="B7" i="1"/>
  <c r="H60" i="1" s="1"/>
  <c r="E38" i="77" l="1"/>
  <c r="O7" i="1"/>
  <c r="G7" i="1"/>
  <c r="A7" i="1"/>
  <c r="A13" i="1" s="1"/>
  <c r="A20" i="1" l="1"/>
  <c r="D60" i="1"/>
  <c r="O8" i="1"/>
  <c r="O12" i="1"/>
  <c r="O11" i="1"/>
  <c r="C77" i="35"/>
  <c r="O10" i="1"/>
  <c r="O9" i="1"/>
  <c r="A21" i="1"/>
  <c r="D21" i="1" s="1"/>
  <c r="E7" i="1"/>
  <c r="O13" i="1" l="1"/>
  <c r="A28" i="1"/>
  <c r="A25" i="1"/>
  <c r="D20" i="1"/>
  <c r="E13" i="1"/>
  <c r="A19" i="1"/>
  <c r="D24" i="1"/>
  <c r="C78" i="35" l="1"/>
  <c r="A18" i="1"/>
  <c r="D46" i="1" s="1"/>
  <c r="A30" i="1"/>
  <c r="B31" i="77" s="1"/>
  <c r="C69" i="35"/>
  <c r="B3" i="111"/>
  <c r="E16" i="111" s="1"/>
  <c r="B4" i="111"/>
  <c r="E14" i="111" s="1"/>
  <c r="D34" i="1"/>
  <c r="D33" i="1"/>
  <c r="D28" i="1"/>
  <c r="D25" i="1"/>
  <c r="D19" i="1"/>
  <c r="D22" i="1" s="1"/>
  <c r="D16" i="111" l="1" a="1"/>
  <c r="D16" i="111" s="1"/>
  <c r="D18" i="111" s="1"/>
  <c r="E15" i="111"/>
  <c r="E18" i="111" s="1"/>
  <c r="C31" i="77"/>
  <c r="B73" i="77"/>
  <c r="K12" i="1"/>
  <c r="D35" i="1"/>
  <c r="C68" i="35"/>
  <c r="L8" i="1"/>
  <c r="L7" i="1"/>
  <c r="D30" i="1"/>
  <c r="D31" i="1" s="1"/>
  <c r="L11" i="1"/>
  <c r="L10" i="1"/>
  <c r="K9" i="1"/>
  <c r="K8" i="1"/>
  <c r="K10" i="1"/>
  <c r="K11" i="1"/>
  <c r="K7" i="1"/>
  <c r="L9" i="1"/>
  <c r="D31" i="77" l="1"/>
  <c r="D40" i="77" s="1"/>
  <c r="C34" i="77"/>
  <c r="C40" i="77"/>
  <c r="D51" i="1"/>
  <c r="D56" i="1" s="1"/>
  <c r="D36" i="1"/>
  <c r="M7" i="1" s="1"/>
  <c r="K13" i="1"/>
  <c r="L13" i="1"/>
  <c r="C35" i="77" l="1"/>
  <c r="C36" i="77"/>
  <c r="D34" i="77"/>
  <c r="C75" i="35"/>
  <c r="M11" i="1"/>
  <c r="M10" i="1"/>
  <c r="M8" i="1"/>
  <c r="D38" i="1"/>
  <c r="D40" i="1" s="1"/>
  <c r="M9" i="1"/>
  <c r="D42" i="1"/>
  <c r="D36" i="77" l="1"/>
  <c r="D35" i="77"/>
  <c r="E40" i="77"/>
  <c r="D58" i="1"/>
  <c r="E58" i="1" s="1"/>
  <c r="C72" i="35"/>
  <c r="M13" i="1"/>
  <c r="D43" i="1"/>
  <c r="D62" i="1" l="1"/>
  <c r="C76" i="35"/>
  <c r="D41" i="1"/>
  <c r="D44" i="1" s="1"/>
  <c r="D47" i="1" s="1"/>
  <c r="D64" i="1" l="1"/>
  <c r="D66" i="1" s="1"/>
  <c r="E62" i="1" s="1"/>
  <c r="C73" i="35"/>
  <c r="C74" i="35" s="1"/>
  <c r="N8" i="1"/>
  <c r="N9" i="1"/>
  <c r="N10" i="1"/>
  <c r="N11" i="1"/>
  <c r="N12" i="1"/>
  <c r="N7" i="1"/>
  <c r="N13" i="1" l="1"/>
  <c r="P8" i="1" l="1"/>
  <c r="P7" i="1"/>
  <c r="E47" i="1"/>
  <c r="C79" i="35"/>
  <c r="C80" i="35" s="1"/>
  <c r="C81" i="35" s="1"/>
  <c r="P12" i="1"/>
  <c r="P9" i="1"/>
  <c r="R9" i="1" s="1"/>
  <c r="P10" i="1"/>
  <c r="P11" i="1"/>
  <c r="R11" i="1" s="1"/>
  <c r="T12" i="1" l="1"/>
  <c r="U12" i="1" s="1"/>
  <c r="V12" i="1" s="1"/>
  <c r="H12" i="1" s="1"/>
  <c r="R12" i="1"/>
  <c r="P13" i="1"/>
  <c r="R13" i="1" s="1"/>
  <c r="R7" i="1"/>
  <c r="S7" i="1" s="1"/>
  <c r="S9" i="1"/>
  <c r="S11" i="1"/>
  <c r="R10" i="1"/>
  <c r="R8" i="1"/>
  <c r="T7" i="1" l="1"/>
  <c r="T8" i="1"/>
  <c r="U8" i="1" s="1"/>
  <c r="V8" i="1" s="1"/>
  <c r="H8" i="1" s="1"/>
  <c r="T9" i="1"/>
  <c r="T10" i="1"/>
  <c r="U10" i="1" s="1"/>
  <c r="V10" i="1" s="1"/>
  <c r="H10" i="1" s="1"/>
  <c r="T11" i="1"/>
  <c r="U11" i="1" s="1"/>
  <c r="V11" i="1" s="1"/>
  <c r="H11" i="1" s="1"/>
  <c r="S12" i="1"/>
  <c r="I65" i="1"/>
  <c r="G72" i="35"/>
  <c r="S10" i="1"/>
  <c r="S8" i="1"/>
  <c r="U7" i="1" l="1"/>
  <c r="G68" i="35"/>
  <c r="U9" i="1"/>
  <c r="V9" i="1" s="1"/>
  <c r="H9" i="1" s="1"/>
  <c r="G88" i="35"/>
  <c r="H88" i="35" s="1"/>
  <c r="I64" i="1"/>
  <c r="G71" i="35"/>
  <c r="I63" i="1"/>
  <c r="G70" i="35"/>
  <c r="I72" i="35"/>
  <c r="H72" i="35"/>
  <c r="H80" i="35" s="1"/>
  <c r="I8" i="1"/>
  <c r="I61" i="1"/>
  <c r="U13" i="1" l="1"/>
  <c r="V13" i="1" s="1"/>
  <c r="H13" i="1" s="1"/>
  <c r="I13" i="1" s="1"/>
  <c r="V7" i="1"/>
  <c r="H7" i="1" s="1"/>
  <c r="I60" i="1" s="1"/>
  <c r="G84" i="35"/>
  <c r="G69" i="35"/>
  <c r="G85" i="35" s="1"/>
  <c r="G87" i="35"/>
  <c r="G86" i="35"/>
  <c r="N79" i="35"/>
  <c r="O79" i="35"/>
  <c r="C83" i="1"/>
  <c r="D83" i="1" s="1"/>
  <c r="F76" i="1"/>
  <c r="F73" i="1"/>
  <c r="C84" i="1"/>
  <c r="D84" i="1" s="1"/>
  <c r="F75" i="1"/>
  <c r="F74" i="1"/>
  <c r="I70" i="35"/>
  <c r="H70" i="35"/>
  <c r="H78" i="35" s="1"/>
  <c r="I71" i="35"/>
  <c r="H71" i="35"/>
  <c r="H79" i="35" s="1"/>
  <c r="I10" i="1"/>
  <c r="I9" i="1"/>
  <c r="I62" i="1"/>
  <c r="H87" i="35" l="1"/>
  <c r="O78" i="35" s="1"/>
  <c r="H86" i="35"/>
  <c r="O77" i="35" s="1"/>
  <c r="I66" i="1"/>
  <c r="G67" i="35"/>
  <c r="I7" i="1"/>
  <c r="N78" i="35"/>
  <c r="N77" i="35"/>
  <c r="C75" i="1"/>
  <c r="D75" i="1" s="1"/>
  <c r="C78" i="1"/>
  <c r="D78" i="1" s="1"/>
  <c r="C73" i="1"/>
  <c r="D73" i="1" s="1"/>
  <c r="C74" i="1"/>
  <c r="D74" i="1" s="1"/>
  <c r="C81" i="1"/>
  <c r="C76" i="1"/>
  <c r="D76" i="1" s="1"/>
  <c r="C80" i="1"/>
  <c r="D80" i="1" s="1"/>
  <c r="C79" i="1"/>
  <c r="D79" i="1" s="1"/>
  <c r="C77" i="1"/>
  <c r="D77" i="1" s="1"/>
  <c r="C82" i="1"/>
  <c r="I67" i="35" l="1"/>
  <c r="H67" i="35"/>
  <c r="G83" i="35"/>
  <c r="H83" i="35" s="1"/>
  <c r="C86" i="35"/>
  <c r="I68" i="1"/>
  <c r="H75" i="35" l="1"/>
  <c r="N75" i="35" s="1"/>
  <c r="O75" i="35"/>
  <c r="I11" i="1"/>
  <c r="H68" i="35" l="1"/>
  <c r="I68" i="35"/>
  <c r="H76" i="35" l="1"/>
  <c r="N76" i="35" s="1"/>
  <c r="H84" i="35"/>
  <c r="O76" i="35" s="1"/>
  <c r="I12" i="1"/>
  <c r="I69" i="35" l="1"/>
  <c r="H69" i="35"/>
  <c r="H77" i="35" l="1"/>
  <c r="H85" i="35"/>
  <c r="D81" i="1"/>
  <c r="D82" i="1" l="1"/>
  <c r="A71" i="1"/>
  <c r="D86" i="1" l="1"/>
  <c r="D89" i="1" s="1"/>
  <c r="C85" i="35"/>
  <c r="C88" i="35" s="1"/>
  <c r="D90" i="1" l="1"/>
  <c r="C90" i="35" s="1"/>
  <c r="D91" i="1" l="1"/>
  <c r="D92" i="1" s="1"/>
  <c r="E92" i="1" l="1"/>
  <c r="C92" i="35"/>
  <c r="C94" i="3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Anne Mitchell</author>
  </authors>
  <commentList>
    <comment ref="B58" authorId="0" shapeId="0" xr:uid="{00000000-0006-0000-0100-000008000000}">
      <text>
        <r>
          <rPr>
            <sz val="9"/>
            <color rgb="FF000000"/>
            <rFont val="Tahoma"/>
            <family val="2"/>
          </rPr>
          <t xml:space="preserve">Education/Program - Child (e.g., food/food related, classroom/child supplies, laundry, tuition assistance, parent activities, field trips, family transportation)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Education/Program - Staff (e.g., prof consultants, trainings/prof development, staff travel)
</t>
        </r>
      </text>
    </comment>
    <comment ref="B59" authorId="0" shapeId="0" xr:uid="{00000000-0006-0000-0100-000009000000}">
      <text>
        <r>
          <rPr>
            <sz val="9"/>
            <color rgb="FF000000"/>
            <rFont val="Tahoma"/>
            <family val="2"/>
          </rPr>
          <t>Occupancy (e.g., rent/mortgage, real estate taxes, other occupancy, maintenance, janitorial)</t>
        </r>
      </text>
    </comment>
    <comment ref="B60" authorId="0" shapeId="0" xr:uid="{00000000-0006-0000-0100-00000A000000}">
      <text>
        <r>
          <rPr>
            <sz val="9"/>
            <color rgb="FF000000"/>
            <rFont val="Tahoma"/>
            <family val="2"/>
          </rPr>
          <t>Program Management (e.g., office supplies, telelphone, internet, insurance, legal and professional fees, permits, fundraising, memberships, administration fees)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tc={BBC83274-9990-7A48-A4CD-6AB9D1D87095}</author>
  </authors>
  <commentList>
    <comment ref="B13" authorId="0" shapeId="0" xr:uid="{BBC83274-9990-7A48-A4CD-6AB9D1D8709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@Simon Workman [P5FS] Licensing does have required hours, are these somewhere else? 
Director/Owner:
18 hours centers
12 hours FCC
Teacher/Asst Teacher:
18 hours centers 
4 hours FCC 
Reply:
    @Jeanna Capito [P5FS] yes, i took it out of here becuase i dont see it as a quality variable. it is in the QualCenterProfile tab, row 35. 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tc={067B3442-FC26-8945-B360-1598D4E4088C}</author>
  </authors>
  <commentList>
    <comment ref="A77" authorId="0" shapeId="0" xr:uid="{067B3442-FC26-8945-B360-1598D4E4088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New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<sst xmlns="http://schemas.openxmlformats.org/spreadsheetml/2006/main" count="568" uniqueCount="402">
  <si>
    <t>3-year-old</t>
  </si>
  <si>
    <t>4-year-old</t>
  </si>
  <si>
    <t>School age</t>
  </si>
  <si>
    <t>Infants</t>
  </si>
  <si>
    <t>Infant</t>
  </si>
  <si>
    <t>Licensing</t>
  </si>
  <si>
    <t>Toddler I</t>
  </si>
  <si>
    <t>Toddler</t>
  </si>
  <si>
    <t>Age 3</t>
  </si>
  <si>
    <t>Age 4</t>
  </si>
  <si>
    <t>State-funded ECE</t>
  </si>
  <si>
    <t>Best</t>
  </si>
  <si>
    <t>EHS/HS</t>
  </si>
  <si>
    <t>Delaware Child Care Center Cost Model - 2024</t>
  </si>
  <si>
    <t>Not Used</t>
  </si>
  <si>
    <t>Better</t>
  </si>
  <si>
    <t>EHS</t>
  </si>
  <si>
    <t>Aspirational</t>
  </si>
  <si>
    <t>Point 2</t>
  </si>
  <si>
    <t>SIZE of CENTER</t>
  </si>
  <si>
    <t># of classrooms</t>
  </si>
  <si>
    <t>Age</t>
  </si>
  <si>
    <t>Ratio and Group Size Selection</t>
  </si>
  <si>
    <t>Ratios</t>
  </si>
  <si>
    <t>Group size</t>
  </si>
  <si>
    <t># Children/Age</t>
  </si>
  <si>
    <t>Metro</t>
  </si>
  <si>
    <t>Standard</t>
  </si>
  <si>
    <t>Toddler II</t>
  </si>
  <si>
    <t>Total classrooms</t>
  </si>
  <si>
    <t>TOTAL Children</t>
  </si>
  <si>
    <t>Salary Scale Levels</t>
  </si>
  <si>
    <t>enter %  at each level</t>
  </si>
  <si>
    <t>Director</t>
  </si>
  <si>
    <t>Teacher</t>
  </si>
  <si>
    <t>Asst Teacher</t>
  </si>
  <si>
    <t>Salary Override</t>
  </si>
  <si>
    <t>No</t>
  </si>
  <si>
    <t>Select yes to override salaries based on step levels, and manually enter salaries in table to right -----------------------------&gt;</t>
  </si>
  <si>
    <t>Yes</t>
  </si>
  <si>
    <t>Position</t>
  </si>
  <si>
    <t>Annual Salary</t>
  </si>
  <si>
    <t>Quality Enhancements: Additional Cost Drivers</t>
  </si>
  <si>
    <t>Lead Teacher</t>
  </si>
  <si>
    <t>Select level</t>
  </si>
  <si>
    <t>Family Engagement</t>
  </si>
  <si>
    <t>Meets Licensing Standards</t>
  </si>
  <si>
    <t>Program Director</t>
  </si>
  <si>
    <t>2 conferences/year</t>
  </si>
  <si>
    <t>3 conferences/year</t>
  </si>
  <si>
    <t>4 conf/year + FamEngage Spec</t>
  </si>
  <si>
    <t>Professional Development Supports</t>
  </si>
  <si>
    <t>Curriculum Implementation Supports</t>
  </si>
  <si>
    <t>Educational Materials</t>
  </si>
  <si>
    <t>Comprehensive Health and Development</t>
  </si>
  <si>
    <t>Inclusion Materials</t>
  </si>
  <si>
    <t>N/A</t>
  </si>
  <si>
    <t>Inclusion Supports Instructional Aide</t>
  </si>
  <si>
    <t>(enter number of children on IEP/IFSP)</t>
  </si>
  <si>
    <t>BENEFITS</t>
  </si>
  <si>
    <t>Health Insurance</t>
  </si>
  <si>
    <t>Select whether program offers health insurance to employees</t>
  </si>
  <si>
    <t>Sick Days</t>
  </si>
  <si>
    <t>enter annual number of days per staff member</t>
  </si>
  <si>
    <t>Paid Leave</t>
  </si>
  <si>
    <t>enter annual number of days per staff member, not including holidays where program is closed</t>
  </si>
  <si>
    <t xml:space="preserve">EFFICIENCY </t>
  </si>
  <si>
    <r>
      <t>Enrollment</t>
    </r>
    <r>
      <rPr>
        <i/>
        <sz val="10"/>
        <rFont val="Arial"/>
        <family val="2"/>
      </rPr>
      <t xml:space="preserve"> as % of total staffed capacity</t>
    </r>
  </si>
  <si>
    <t>85-95% is typical</t>
  </si>
  <si>
    <r>
      <t xml:space="preserve">Bad Debt </t>
    </r>
    <r>
      <rPr>
        <i/>
        <sz val="10"/>
        <rFont val="Arial"/>
        <family val="2"/>
      </rPr>
      <t>as % of revenue not collected</t>
    </r>
  </si>
  <si>
    <t>About 3% is typical</t>
  </si>
  <si>
    <t>REVENUE</t>
  </si>
  <si>
    <r>
      <t xml:space="preserve">Enter </t>
    </r>
    <r>
      <rPr>
        <b/>
        <i/>
        <sz val="10"/>
        <rFont val="Arial"/>
        <family val="2"/>
      </rPr>
      <t># of children</t>
    </r>
    <r>
      <rPr>
        <i/>
        <sz val="10"/>
        <rFont val="Arial"/>
        <family val="2"/>
      </rPr>
      <t xml:space="preserve"> by age receiving each type of subsidy using YELLOW cells only in the table below. Private Tuition cell will automatically calculated and should not be a negative </t>
    </r>
  </si>
  <si>
    <t>Child care subsidy (Purchase of Care)</t>
  </si>
  <si>
    <t>POC special needs</t>
  </si>
  <si>
    <t>Private Tuition</t>
  </si>
  <si>
    <t>Total</t>
  </si>
  <si>
    <t>Total across all public funding</t>
  </si>
  <si>
    <t>Percent subsidy</t>
  </si>
  <si>
    <t xml:space="preserve">Additional income </t>
  </si>
  <si>
    <t>e.g. grants, donations</t>
  </si>
  <si>
    <t>RESULTS - Program Level</t>
  </si>
  <si>
    <t>Results - Cost per Child (CPC)</t>
  </si>
  <si>
    <t>Annual</t>
  </si>
  <si>
    <t>Monthly</t>
  </si>
  <si>
    <t>Weekly</t>
  </si>
  <si>
    <t>Total Staff</t>
  </si>
  <si>
    <t>Teaching Staff</t>
  </si>
  <si>
    <t>EXPENSES</t>
  </si>
  <si>
    <t>Wages</t>
  </si>
  <si>
    <t>Benefits</t>
  </si>
  <si>
    <t>Total Personnel</t>
  </si>
  <si>
    <t>Current Subsidy Rates</t>
  </si>
  <si>
    <t>Gap - subsidy and cost</t>
  </si>
  <si>
    <t>Quality Variables</t>
  </si>
  <si>
    <t>Select County below:</t>
  </si>
  <si>
    <t>Education Program Exp</t>
  </si>
  <si>
    <t>New Castle</t>
  </si>
  <si>
    <t>Occupancy</t>
  </si>
  <si>
    <t>Program Mgmt &amp; Admin</t>
  </si>
  <si>
    <t>Operating Reserve</t>
  </si>
  <si>
    <t>Total Nonpersonnel</t>
  </si>
  <si>
    <t>TOTAL EXPENSE</t>
  </si>
  <si>
    <t>75th percentile current market price</t>
  </si>
  <si>
    <t>Gap - price and cost</t>
  </si>
  <si>
    <t>INCOME</t>
  </si>
  <si>
    <t>CACFP</t>
  </si>
  <si>
    <t>POC</t>
  </si>
  <si>
    <t>Tuition</t>
  </si>
  <si>
    <t>Other income</t>
  </si>
  <si>
    <t>TOTAL INCOME</t>
  </si>
  <si>
    <t>Adjustment for bad debt and enrolment efficiency</t>
  </si>
  <si>
    <t>Percent of expenses</t>
  </si>
  <si>
    <t>PRO-FORMA BUDGET:  Delaware Child Care Center</t>
  </si>
  <si>
    <t>Items in yellow shaded cells may be changed to model different scenarios</t>
  </si>
  <si>
    <t>user can change these cells</t>
  </si>
  <si>
    <t>DO NOT CHANGE OTHER CELLS</t>
  </si>
  <si>
    <t>these cells have data from the Variables sheet. DO NOT change here.</t>
  </si>
  <si>
    <t>A Typical Center</t>
  </si>
  <si>
    <t>Max Grp</t>
  </si>
  <si>
    <t>Teachers</t>
  </si>
  <si>
    <t>Classrooms</t>
  </si>
  <si>
    <t>Annual cost per child</t>
  </si>
  <si>
    <t>Admin personnel</t>
  </si>
  <si>
    <t>Teacher Salaries</t>
  </si>
  <si>
    <t>Sub/Floater Salaries</t>
  </si>
  <si>
    <t>Classroom Costs</t>
  </si>
  <si>
    <t>Child Costs</t>
  </si>
  <si>
    <t>Transportation</t>
  </si>
  <si>
    <t>TOTAL Classroom Cost</t>
  </si>
  <si>
    <t>Simple CPC</t>
  </si>
  <si>
    <t>School age adjustment</t>
  </si>
  <si>
    <t>Adjusted Age Group Total</t>
  </si>
  <si>
    <t>Adjusted CPC</t>
  </si>
  <si>
    <t>= % for daily coverage (need 20% for opening/closing and breaks, not for SA)</t>
  </si>
  <si>
    <t>additional time for pick-up/drop-off, cleaning etc.</t>
  </si>
  <si>
    <t>Adjustment Factor</t>
  </si>
  <si>
    <t>EXPENSES: Personnel</t>
  </si>
  <si>
    <t>Total Cost</t>
  </si>
  <si>
    <t>Unit Cost</t>
  </si>
  <si>
    <t>TOTAL Staff</t>
  </si>
  <si>
    <t>FTE Wage</t>
  </si>
  <si>
    <t>1FTE</t>
  </si>
  <si>
    <t>Assistant Director</t>
  </si>
  <si>
    <t xml:space="preserve"> (0.5FTE if &lt;94, 1FTE if 94-138, 1.5 FTE if 139-182, 2FTE if &gt;182)</t>
  </si>
  <si>
    <t>Administrative assistant</t>
  </si>
  <si>
    <t>Subtotal administration and management staff</t>
  </si>
  <si>
    <t>Lead Teachers (1 per classroom)</t>
  </si>
  <si>
    <t>Assistant Teachers</t>
  </si>
  <si>
    <t>Lead Teacher - School age</t>
  </si>
  <si>
    <t>percent of salary</t>
  </si>
  <si>
    <t>Assistant Teachers - School age</t>
  </si>
  <si>
    <t>Floater-Assists. (for % coverage throughout day)</t>
  </si>
  <si>
    <t>Instructional Aides (inclusion supports)</t>
  </si>
  <si>
    <t>based on 10 hours per week, per child</t>
  </si>
  <si>
    <t>subtotal teaching staff</t>
  </si>
  <si>
    <t>subtotal all staff</t>
  </si>
  <si>
    <r>
      <t xml:space="preserve">Subs for staff leave @ </t>
    </r>
    <r>
      <rPr>
        <u/>
        <sz val="10"/>
        <rFont val="Arial"/>
        <family val="2"/>
      </rPr>
      <t>days</t>
    </r>
    <r>
      <rPr>
        <sz val="10"/>
        <rFont val="Arial"/>
        <family val="2"/>
      </rPr>
      <t xml:space="preserve"> per year</t>
    </r>
  </si>
  <si>
    <r>
      <t xml:space="preserve">paid leave days </t>
    </r>
    <r>
      <rPr>
        <i/>
        <sz val="10"/>
        <rFont val="Arial"/>
        <family val="2"/>
      </rPr>
      <t>[plus 8-10  paid holidays per year, no subs needed for holidays]</t>
    </r>
  </si>
  <si>
    <r>
      <t xml:space="preserve">Subs for staff sick leave @ </t>
    </r>
    <r>
      <rPr>
        <u/>
        <sz val="10"/>
        <rFont val="Arial"/>
        <family val="2"/>
      </rPr>
      <t>days</t>
    </r>
    <r>
      <rPr>
        <sz val="10"/>
        <rFont val="Arial"/>
        <family val="2"/>
      </rPr>
      <t>/year</t>
    </r>
  </si>
  <si>
    <t>days of paid sick leave</t>
  </si>
  <si>
    <t>Subs for Professional Development</t>
  </si>
  <si>
    <t>hours per year</t>
  </si>
  <si>
    <t>subtotal substitutes</t>
  </si>
  <si>
    <t>subs paid at avg teacher asst hourly</t>
  </si>
  <si>
    <t>Subtotal Wages</t>
  </si>
  <si>
    <t>Mandatory benefits @ % salary</t>
  </si>
  <si>
    <t xml:space="preserve">FICA-Social Security </t>
  </si>
  <si>
    <t>Medicare</t>
  </si>
  <si>
    <t>Unemployment Insurance</t>
  </si>
  <si>
    <t>Workers Compensation</t>
  </si>
  <si>
    <t>Subtotal Mandatory Benefits</t>
  </si>
  <si>
    <t>Discretionary benefits</t>
  </si>
  <si>
    <t>Additional benefits (pool/menu of options):</t>
  </si>
  <si>
    <t>2023 average employer contribution to employer-based health insurance:   https://www.kff.org/other/state-indicator/single-coverage/?currentTimeframe=0&amp;sortModel=%7B%22colId%22:%22Location%22,%22sort%22:%22asc%22%7D</t>
  </si>
  <si>
    <t>Subtotal Personnel</t>
  </si>
  <si>
    <t>of expenses</t>
  </si>
  <si>
    <t>QUALITY VARIABLES</t>
  </si>
  <si>
    <t>Subtotal quality variables</t>
  </si>
  <si>
    <t xml:space="preserve">EXPENSES: Nonpersonnel </t>
  </si>
  <si>
    <t>Education Program for Children and Staff</t>
  </si>
  <si>
    <t>CPC check</t>
  </si>
  <si>
    <t>Program Management &amp; Administration</t>
  </si>
  <si>
    <t>School age transportation</t>
  </si>
  <si>
    <t>Subtotal Nonpersonnel</t>
  </si>
  <si>
    <t>Contribution to operating reserve fund</t>
  </si>
  <si>
    <t>Total Expense</t>
  </si>
  <si>
    <t>POC Rate Region</t>
  </si>
  <si>
    <t>[set these options in the Input-CTR page]</t>
  </si>
  <si>
    <t>Kent</t>
  </si>
  <si>
    <t>Sussex</t>
  </si>
  <si>
    <t>Tuition Cluster</t>
  </si>
  <si>
    <t># children</t>
  </si>
  <si>
    <t>adjusted annual rate</t>
  </si>
  <si>
    <t>CACFP (all ages)</t>
  </si>
  <si>
    <t>Monthly rate</t>
  </si>
  <si>
    <t>Private Tuition (infants)</t>
  </si>
  <si>
    <t>Private Tuition (toddlers)</t>
  </si>
  <si>
    <t>Private Tuition (Toddler II, 3s, 4s)</t>
  </si>
  <si>
    <t>Private Tuition (school age)</t>
  </si>
  <si>
    <t>POC subsidy (infants)</t>
  </si>
  <si>
    <t>POC subsidy (Toddlers)</t>
  </si>
  <si>
    <t>POC subsidy (Toddler II, 3s, 4s)</t>
  </si>
  <si>
    <t>POC subsidy (school age)</t>
  </si>
  <si>
    <t>part time rate</t>
  </si>
  <si>
    <t>Special Needs POC subsidy (infants)</t>
  </si>
  <si>
    <t>Special Needs POC subsidy (toddlers)</t>
  </si>
  <si>
    <t>Special Needs POC subsidy (preschoolers)</t>
  </si>
  <si>
    <t>Special Needs POC subsidy (school age)</t>
  </si>
  <si>
    <t>Other income (grants, fundraising, etc.)</t>
  </si>
  <si>
    <t xml:space="preserve">= Potential Total Revenue </t>
  </si>
  <si>
    <t>Adjustments to revenue</t>
  </si>
  <si>
    <t>Bad debt</t>
  </si>
  <si>
    <t>Enrollment efficiency (average)</t>
  </si>
  <si>
    <t>= Actual Total Revenue</t>
  </si>
  <si>
    <t>Annual Revenue less Expenses profit/(loss)</t>
  </si>
  <si>
    <t>Floater/Sub Rate/Hour</t>
  </si>
  <si>
    <t>Asst Teachers</t>
  </si>
  <si>
    <t>Director &amp; Asst Dir</t>
  </si>
  <si>
    <t>Children</t>
  </si>
  <si>
    <t>Point 3</t>
  </si>
  <si>
    <t>Point 4</t>
  </si>
  <si>
    <t>conferences annually</t>
  </si>
  <si>
    <t>2 hour per child, paid at hourly wage of floater/sub</t>
  </si>
  <si>
    <t>Family Engagement Specialist 1/46 children</t>
  </si>
  <si>
    <t xml:space="preserve">PD hours, director/owner per year </t>
  </si>
  <si>
    <t>coverage paid at floater/sub rate</t>
  </si>
  <si>
    <t xml:space="preserve">PD hours, teacher/assistant per year </t>
  </si>
  <si>
    <t>Release Time</t>
  </si>
  <si>
    <t>Coach</t>
  </si>
  <si>
    <t>.25 FTE 46 center enrollment, .5 FTE if &lt;64 children, over 94 children, FT</t>
  </si>
  <si>
    <t>150/hour</t>
  </si>
  <si>
    <t>Materials</t>
  </si>
  <si>
    <t>health consultant . 16 hours/classroom/month</t>
  </si>
  <si>
    <t>$250 per kid on IEP</t>
  </si>
  <si>
    <t>CPI INCREASE to 2024</t>
  </si>
  <si>
    <t>Asst Director</t>
  </si>
  <si>
    <t>Admin Asst</t>
  </si>
  <si>
    <t>Admin/Asst</t>
  </si>
  <si>
    <t>Health Consultant or Coach</t>
  </si>
  <si>
    <t>Fam Engage Specailist</t>
  </si>
  <si>
    <t>Current Average Salary</t>
  </si>
  <si>
    <t>Entry</t>
  </si>
  <si>
    <t>Quality</t>
  </si>
  <si>
    <t>Level 1</t>
  </si>
  <si>
    <t>Higher Comp</t>
  </si>
  <si>
    <t>Level 2</t>
  </si>
  <si>
    <t>Level 3</t>
  </si>
  <si>
    <t>Level 4</t>
  </si>
  <si>
    <t>Weighted Avg based on Input</t>
  </si>
  <si>
    <t>Infant/Toddler</t>
  </si>
  <si>
    <t>Steps 1-6</t>
  </si>
  <si>
    <t>CDA (Step 7, 7.5, 8, 8.5</t>
  </si>
  <si>
    <t>AA (Step 9, 9.5)</t>
  </si>
  <si>
    <t>BA (Step 10)</t>
  </si>
  <si>
    <t>MA (Step 11, 12)</t>
  </si>
  <si>
    <t>(PP target salaries)</t>
  </si>
  <si>
    <t>original admin asst</t>
  </si>
  <si>
    <t>2024 MWO</t>
  </si>
  <si>
    <t>CENTERS</t>
  </si>
  <si>
    <t>Toddler I (1-2 yr)</t>
  </si>
  <si>
    <t>Toddler II (2-3 yr)</t>
  </si>
  <si>
    <t>Group Size</t>
  </si>
  <si>
    <t>PCQC - Center</t>
  </si>
  <si>
    <t>Category</t>
  </si>
  <si>
    <t>PCQC - FCC</t>
  </si>
  <si>
    <t>Delaware</t>
  </si>
  <si>
    <t>Kids</t>
  </si>
  <si>
    <t>total site</t>
  </si>
  <si>
    <t>annual costs</t>
  </si>
  <si>
    <t>Value</t>
  </si>
  <si>
    <t>BASE</t>
  </si>
  <si>
    <t>State Adjustment</t>
  </si>
  <si>
    <t>COLA adjust?</t>
  </si>
  <si>
    <t>Program BASE</t>
  </si>
  <si>
    <t>Static per child (based on 6)</t>
  </si>
  <si>
    <t>Program Management</t>
  </si>
  <si>
    <t>Advertising</t>
  </si>
  <si>
    <t>x</t>
  </si>
  <si>
    <t>Office Supplies/Equipment</t>
  </si>
  <si>
    <t>vehicle expense</t>
  </si>
  <si>
    <t>Telephone/Internet</t>
  </si>
  <si>
    <t>X</t>
  </si>
  <si>
    <t>depreciation</t>
  </si>
  <si>
    <t>Insurance</t>
  </si>
  <si>
    <t>insurance</t>
  </si>
  <si>
    <t>Legal/Professional Fees</t>
  </si>
  <si>
    <t>interest on biz debt</t>
  </si>
  <si>
    <t>Fees/Permits</t>
  </si>
  <si>
    <t>legal &amp; Prof fees</t>
  </si>
  <si>
    <t>Prof Assoc/Memberships</t>
  </si>
  <si>
    <t>Office supplie</t>
  </si>
  <si>
    <t>Recruitment/marketing</t>
  </si>
  <si>
    <t>Repairs/Maint</t>
  </si>
  <si>
    <t>Other</t>
  </si>
  <si>
    <t>Supplies</t>
  </si>
  <si>
    <t>Food</t>
  </si>
  <si>
    <t>Rent /Lease/Mortgage (incl RE taxes)</t>
  </si>
  <si>
    <t>Telephone</t>
  </si>
  <si>
    <t>Other occupancy (incl utilities)</t>
  </si>
  <si>
    <t>Training/PD</t>
  </si>
  <si>
    <t>Maintenance/Repairs/cleaning</t>
  </si>
  <si>
    <t>Prof Member</t>
  </si>
  <si>
    <t>License/permits</t>
  </si>
  <si>
    <t>Education/Program - Child</t>
  </si>
  <si>
    <t>Child Assessment</t>
  </si>
  <si>
    <t>Food &amp; Food Related Items</t>
  </si>
  <si>
    <t>Equipment</t>
  </si>
  <si>
    <t>Classroom supplies</t>
  </si>
  <si>
    <t>Professional services</t>
  </si>
  <si>
    <t>Medical Supplies</t>
  </si>
  <si>
    <t>Educational Supplies</t>
  </si>
  <si>
    <t>advertising</t>
  </si>
  <si>
    <t>Mortgage/Rent</t>
  </si>
  <si>
    <t>Child assessment</t>
  </si>
  <si>
    <t>Home insurance</t>
  </si>
  <si>
    <t>Repairs/Maintenance</t>
  </si>
  <si>
    <t>Utilities</t>
  </si>
  <si>
    <t>Education/Program - Staff</t>
  </si>
  <si>
    <t>Household supplies</t>
  </si>
  <si>
    <t>Other: Prof Consultants/Temp Personnel</t>
  </si>
  <si>
    <t>Training/PD (200 per teacher)</t>
  </si>
  <si>
    <t>Hours worked</t>
  </si>
  <si>
    <t>Space in home</t>
  </si>
  <si>
    <t>Total Non-Personnel</t>
  </si>
  <si>
    <t>Total space</t>
  </si>
  <si>
    <t>Per classroom</t>
  </si>
  <si>
    <t>Time-Space Percent</t>
  </si>
  <si>
    <t>per child</t>
  </si>
  <si>
    <t>Administration (by child)</t>
  </si>
  <si>
    <t>Total 100% Biz</t>
  </si>
  <si>
    <t>Occupancy (by classroom)</t>
  </si>
  <si>
    <t>Shared expense</t>
  </si>
  <si>
    <t>Education Program (by child)</t>
  </si>
  <si>
    <t xml:space="preserve">Use in CTR R&amp;E </t>
  </si>
  <si>
    <t>TOTAL</t>
  </si>
  <si>
    <t>Administration</t>
  </si>
  <si>
    <t>Education Program</t>
  </si>
  <si>
    <t xml:space="preserve">Use in FCC R&amp;E </t>
  </si>
  <si>
    <t>NEW</t>
  </si>
  <si>
    <t>Developmental Screening Tool</t>
  </si>
  <si>
    <t>/child</t>
  </si>
  <si>
    <t>added to child assess</t>
  </si>
  <si>
    <t>Curriculum</t>
  </si>
  <si>
    <t>/site</t>
  </si>
  <si>
    <t xml:space="preserve">not included </t>
  </si>
  <si>
    <t>Accreditation Fees</t>
  </si>
  <si>
    <t>Professional Membership and Subscriptions</t>
  </si>
  <si>
    <t xml:space="preserve">not calculating, added to fees/permits </t>
  </si>
  <si>
    <t>Annual Teaching Staff Training</t>
  </si>
  <si>
    <t>hrs</t>
  </si>
  <si>
    <t>Daily</t>
  </si>
  <si>
    <t>Special need</t>
  </si>
  <si>
    <t>0-12months</t>
  </si>
  <si>
    <t>1-2 years</t>
  </si>
  <si>
    <t>2-5 years</t>
  </si>
  <si>
    <t>https://dhss.delaware.gov/dhss/dss/childcr.html</t>
  </si>
  <si>
    <t>School age*</t>
  </si>
  <si>
    <t>Preschool</t>
  </si>
  <si>
    <t>*Part-time rate</t>
  </si>
  <si>
    <t xml:space="preserve">Updated to 2024 Rates </t>
  </si>
  <si>
    <t>https://dhss.delaware.gov/dhss/dss/files/2024DelawareChildCareMarketRateSurvey.pdf</t>
  </si>
  <si>
    <t>CHILD AND ADULT CARE FOOD PROGRAM (CACFP)</t>
  </si>
  <si>
    <t>UPDATED</t>
  </si>
  <si>
    <t>Per Meal Rates in Whole or Fractions of U.S. Dollars</t>
  </si>
  <si>
    <t>Effective from July 1, 2024 - June 30, 2025</t>
  </si>
  <si>
    <t>Centers</t>
  </si>
  <si>
    <t>DO NOT ALTER = used in formulas on other spreadsheets</t>
  </si>
  <si>
    <t>https://www.fns.usda.gov/cacfp/fr-071024</t>
  </si>
  <si>
    <t>Family Income Eligibility</t>
  </si>
  <si>
    <t>Breakfast</t>
  </si>
  <si>
    <t>Lunch /Supper</t>
  </si>
  <si>
    <t>Snack</t>
  </si>
  <si>
    <t xml:space="preserve">Daily </t>
  </si>
  <si>
    <t>weekly</t>
  </si>
  <si>
    <t>breakfast and 2 snacks (part-day program)</t>
  </si>
  <si>
    <t>185% and up</t>
  </si>
  <si>
    <t>PAID</t>
  </si>
  <si>
    <t>&lt;185% FPL</t>
  </si>
  <si>
    <t>REDUCED PRICE</t>
  </si>
  <si>
    <t>&lt;130% FPL</t>
  </si>
  <si>
    <t>FREE</t>
  </si>
  <si>
    <t>1 breakfast,1  lunch or dinner and 2 snacks</t>
  </si>
  <si>
    <t>annual salary, 1 for every 40 children</t>
  </si>
  <si>
    <t>16 hours/classroom/month for SFECE</t>
  </si>
  <si>
    <t>5/hour/classroom/month for Point 3</t>
  </si>
  <si>
    <t>$250/year inclusion materials</t>
  </si>
  <si>
    <t>2 hrs./wk. release time (lead teacher)</t>
  </si>
  <si>
    <t>1 hr./day release time (all teachers)</t>
  </si>
  <si>
    <t>40 hours PD + 7 hrs./week release time + Coaching support</t>
  </si>
  <si>
    <t>3 hrs./week curriculum support</t>
  </si>
  <si>
    <t>5 hrs./week curriculum support</t>
  </si>
  <si>
    <t>Additional $50/yr./child</t>
  </si>
  <si>
    <t>Additional $75/yr./child</t>
  </si>
  <si>
    <t>Additional $100/yr./child</t>
  </si>
  <si>
    <t>Health consultant support (5 hrs./classroom/month)</t>
  </si>
  <si>
    <t>Health consultant support (16 hrs./classroom/month)</t>
  </si>
  <si>
    <t>UPDATED WITH 2024 Rates</t>
  </si>
  <si>
    <t>Statewide</t>
  </si>
  <si>
    <r>
      <t xml:space="preserve">Items in </t>
    </r>
    <r>
      <rPr>
        <b/>
        <sz val="11"/>
        <rFont val="Arial"/>
        <family val="2"/>
      </rPr>
      <t>YELLOW</t>
    </r>
    <r>
      <rPr>
        <b/>
        <sz val="11"/>
        <color theme="1"/>
        <rFont val="Arial"/>
        <family val="2"/>
      </rPr>
      <t xml:space="preserve"> shaded cells are for INPUT to model different center 'profiles'.</t>
    </r>
  </si>
  <si>
    <t>Items in GREEN shaded cells are for INPUT to model different variables.</t>
  </si>
  <si>
    <t>Model developed by Prenatal to Five Fiscal Strategies, 2024. www.prenatal5fiscal.org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</si>
</sst>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"/>
    <numFmt numFmtId="167" formatCode="_(&quot;$&quot;* #,##0_);_(&quot;$&quot;* \(#,##0\);_(&quot;$&quot;* &quot;-&quot;??_);_(@_)"/>
    <numFmt numFmtId="168" formatCode="&quot;$&quot;#,##0;[Red]&quot;$&quot;#,##0"/>
    <numFmt numFmtId="169" formatCode="0.0%"/>
    <numFmt numFmtId="170" formatCode="\$#,##0.00_-"/>
  </numFmts>
  <fonts count="62" x14ac:knownFonts="1">
    <font>
      <sz val="10"/>
      <name val="Arial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u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8"/>
      <color rgb="FFFF0000"/>
      <name val="Arial"/>
      <family val="2"/>
    </font>
    <font>
      <sz val="9"/>
      <color rgb="FF000000"/>
      <name val="Tahoma"/>
      <family val="2"/>
    </font>
    <font>
      <sz val="10"/>
      <color rgb="FF000000"/>
      <name val="Times New Roman"/>
      <family val="1"/>
    </font>
    <font>
      <i/>
      <sz val="10"/>
      <color theme="1"/>
      <name val="Arial"/>
      <family val="2"/>
    </font>
    <font>
      <b/>
      <i/>
      <sz val="14"/>
      <name val="Arial"/>
      <family val="2"/>
    </font>
    <font>
      <b/>
      <u/>
      <sz val="11"/>
      <name val="Arial"/>
      <family val="2"/>
    </font>
    <font>
      <sz val="10"/>
      <color theme="0"/>
      <name val="Arial"/>
      <family val="2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b/>
      <sz val="1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0" tint="-0.249977111117893"/>
      <name val="Arial"/>
      <family val="2"/>
    </font>
    <font>
      <b/>
      <sz val="10"/>
      <color theme="0" tint="-0.249977111117893"/>
      <name val="Arial"/>
      <family val="2"/>
    </font>
    <font>
      <i/>
      <sz val="10"/>
      <color theme="5"/>
      <name val="Arial"/>
      <family val="2"/>
    </font>
    <font>
      <i/>
      <sz val="11"/>
      <name val="Arial"/>
      <family val="2"/>
    </font>
    <font>
      <b/>
      <sz val="10"/>
      <color rgb="FFFF0000"/>
      <name val="Arial"/>
      <family val="2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20" borderId="1" applyNumberFormat="0" applyAlignment="0" applyProtection="0"/>
    <xf numFmtId="0" fontId="16" fillId="21" borderId="2" applyNumberFormat="0" applyAlignment="0" applyProtection="0"/>
    <xf numFmtId="44" fontId="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7" borderId="1" applyNumberFormat="0" applyAlignment="0" applyProtection="0"/>
    <xf numFmtId="0" fontId="24" fillId="0" borderId="6" applyNumberFormat="0" applyFill="0" applyAlignment="0" applyProtection="0"/>
    <xf numFmtId="0" fontId="25" fillId="22" borderId="0" applyNumberFormat="0" applyBorder="0" applyAlignment="0" applyProtection="0"/>
    <xf numFmtId="0" fontId="8" fillId="23" borderId="7" applyNumberFormat="0" applyFont="0" applyAlignment="0" applyProtection="0"/>
    <xf numFmtId="0" fontId="27" fillId="20" borderId="8" applyNumberFormat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4" fontId="1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4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9" fontId="1" fillId="0" borderId="0" applyFont="0" applyFill="0" applyBorder="0" applyAlignment="0" applyProtection="0"/>
  </cellStyleXfs>
  <cellXfs count="534">
    <xf numFmtId="0" fontId="0" fillId="0" borderId="0" xfId="0"/>
    <xf numFmtId="0" fontId="10" fillId="0" borderId="0" xfId="0" applyFont="1"/>
    <xf numFmtId="0" fontId="11" fillId="0" borderId="0" xfId="0" applyFont="1"/>
    <xf numFmtId="0" fontId="32" fillId="0" borderId="0" xfId="0" applyFont="1"/>
    <xf numFmtId="6" fontId="31" fillId="0" borderId="0" xfId="0" applyNumberFormat="1" applyFont="1"/>
    <xf numFmtId="0" fontId="33" fillId="0" borderId="0" xfId="0" applyFont="1"/>
    <xf numFmtId="6" fontId="0" fillId="0" borderId="0" xfId="0" applyNumberFormat="1"/>
    <xf numFmtId="6" fontId="34" fillId="0" borderId="0" xfId="0" applyNumberFormat="1" applyFont="1"/>
    <xf numFmtId="6" fontId="8" fillId="0" borderId="0" xfId="0" applyNumberFormat="1" applyFont="1"/>
    <xf numFmtId="6" fontId="10" fillId="0" borderId="0" xfId="0" applyNumberFormat="1" applyFont="1"/>
    <xf numFmtId="2" fontId="10" fillId="0" borderId="0" xfId="0" applyNumberFormat="1" applyFont="1"/>
    <xf numFmtId="0" fontId="34" fillId="0" borderId="0" xfId="0" applyFont="1" applyAlignment="1">
      <alignment horizontal="right"/>
    </xf>
    <xf numFmtId="8" fontId="0" fillId="0" borderId="0" xfId="0" applyNumberFormat="1"/>
    <xf numFmtId="0" fontId="10" fillId="0" borderId="0" xfId="0" applyFont="1" applyAlignment="1">
      <alignment horizontal="right"/>
    </xf>
    <xf numFmtId="0" fontId="22" fillId="0" borderId="0" xfId="35" applyAlignment="1" applyProtection="1"/>
    <xf numFmtId="0" fontId="10" fillId="25" borderId="0" xfId="0" applyFont="1" applyFill="1"/>
    <xf numFmtId="20" fontId="0" fillId="0" borderId="0" xfId="0" quotePrefix="1" applyNumberFormat="1" applyAlignment="1">
      <alignment horizontal="right"/>
    </xf>
    <xf numFmtId="9" fontId="0" fillId="0" borderId="0" xfId="44" applyFont="1"/>
    <xf numFmtId="0" fontId="37" fillId="0" borderId="0" xfId="0" applyFont="1"/>
    <xf numFmtId="0" fontId="8" fillId="0" borderId="0" xfId="0" applyFont="1"/>
    <xf numFmtId="0" fontId="8" fillId="0" borderId="0" xfId="0" quotePrefix="1" applyFont="1"/>
    <xf numFmtId="165" fontId="8" fillId="0" borderId="0" xfId="0" applyNumberFormat="1" applyFont="1"/>
    <xf numFmtId="0" fontId="8" fillId="0" borderId="0" xfId="0" applyFont="1" applyAlignment="1">
      <alignment horizontal="right"/>
    </xf>
    <xf numFmtId="8" fontId="8" fillId="0" borderId="0" xfId="0" applyNumberFormat="1" applyFont="1"/>
    <xf numFmtId="20" fontId="8" fillId="0" borderId="0" xfId="0" quotePrefix="1" applyNumberFormat="1" applyFont="1" applyAlignment="1">
      <alignment horizontal="right"/>
    </xf>
    <xf numFmtId="0" fontId="8" fillId="0" borderId="0" xfId="0" applyFont="1" applyAlignment="1">
      <alignment horizontal="left"/>
    </xf>
    <xf numFmtId="166" fontId="10" fillId="0" borderId="0" xfId="0" applyNumberFormat="1" applyFont="1"/>
    <xf numFmtId="0" fontId="0" fillId="0" borderId="18" xfId="0" applyBorder="1"/>
    <xf numFmtId="0" fontId="8" fillId="0" borderId="18" xfId="0" applyFont="1" applyBorder="1"/>
    <xf numFmtId="0" fontId="0" fillId="0" borderId="12" xfId="0" applyBorder="1"/>
    <xf numFmtId="0" fontId="0" fillId="0" borderId="10" xfId="0" applyBorder="1"/>
    <xf numFmtId="6" fontId="31" fillId="0" borderId="18" xfId="0" applyNumberFormat="1" applyFont="1" applyBorder="1"/>
    <xf numFmtId="6" fontId="10" fillId="0" borderId="18" xfId="0" applyNumberFormat="1" applyFont="1" applyBorder="1"/>
    <xf numFmtId="6" fontId="0" fillId="0" borderId="18" xfId="0" applyNumberFormat="1" applyBorder="1"/>
    <xf numFmtId="0" fontId="10" fillId="0" borderId="18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39" fillId="0" borderId="11" xfId="0" applyFont="1" applyBorder="1"/>
    <xf numFmtId="0" fontId="11" fillId="0" borderId="11" xfId="0" applyFont="1" applyBorder="1"/>
    <xf numFmtId="0" fontId="33" fillId="0" borderId="0" xfId="0" applyFont="1" applyAlignment="1">
      <alignment wrapText="1"/>
    </xf>
    <xf numFmtId="0" fontId="11" fillId="0" borderId="19" xfId="0" applyFont="1" applyBorder="1"/>
    <xf numFmtId="0" fontId="10" fillId="0" borderId="12" xfId="0" applyFont="1" applyBorder="1"/>
    <xf numFmtId="165" fontId="10" fillId="0" borderId="12" xfId="0" applyNumberFormat="1" applyFont="1" applyBorder="1"/>
    <xf numFmtId="0" fontId="34" fillId="0" borderId="0" xfId="0" applyFont="1"/>
    <xf numFmtId="166" fontId="8" fillId="0" borderId="0" xfId="0" applyNumberFormat="1" applyFont="1" applyAlignment="1">
      <alignment horizontal="right"/>
    </xf>
    <xf numFmtId="2" fontId="42" fillId="0" borderId="0" xfId="0" applyNumberFormat="1" applyFont="1"/>
    <xf numFmtId="9" fontId="8" fillId="0" borderId="0" xfId="44" applyFont="1" applyFill="1"/>
    <xf numFmtId="165" fontId="10" fillId="0" borderId="0" xfId="0" applyNumberFormat="1" applyFont="1"/>
    <xf numFmtId="0" fontId="9" fillId="0" borderId="0" xfId="0" applyFont="1"/>
    <xf numFmtId="10" fontId="8" fillId="0" borderId="0" xfId="0" applyNumberFormat="1" applyFont="1"/>
    <xf numFmtId="9" fontId="9" fillId="0" borderId="0" xfId="0" applyNumberFormat="1" applyFont="1"/>
    <xf numFmtId="6" fontId="11" fillId="0" borderId="0" xfId="0" applyNumberFormat="1" applyFont="1"/>
    <xf numFmtId="166" fontId="11" fillId="0" borderId="0" xfId="0" applyNumberFormat="1" applyFont="1"/>
    <xf numFmtId="8" fontId="37" fillId="0" borderId="0" xfId="0" applyNumberFormat="1" applyFont="1"/>
    <xf numFmtId="0" fontId="8" fillId="28" borderId="0" xfId="0" quotePrefix="1" applyFont="1" applyFill="1" applyAlignment="1">
      <alignment horizontal="right" wrapText="1"/>
    </xf>
    <xf numFmtId="9" fontId="8" fillId="0" borderId="0" xfId="0" applyNumberFormat="1" applyFont="1"/>
    <xf numFmtId="0" fontId="8" fillId="0" borderId="11" xfId="0" applyFont="1" applyBorder="1"/>
    <xf numFmtId="0" fontId="10" fillId="0" borderId="11" xfId="0" applyFont="1" applyBorder="1"/>
    <xf numFmtId="167" fontId="0" fillId="0" borderId="0" xfId="28" applyNumberFormat="1" applyFont="1"/>
    <xf numFmtId="1" fontId="8" fillId="0" borderId="0" xfId="0" applyNumberFormat="1" applyFont="1"/>
    <xf numFmtId="0" fontId="40" fillId="0" borderId="0" xfId="0" applyFont="1"/>
    <xf numFmtId="0" fontId="8" fillId="0" borderId="12" xfId="0" applyFont="1" applyBorder="1"/>
    <xf numFmtId="0" fontId="8" fillId="0" borderId="12" xfId="0" quotePrefix="1" applyFont="1" applyBorder="1" applyAlignment="1">
      <alignment horizontal="right" wrapText="1"/>
    </xf>
    <xf numFmtId="6" fontId="31" fillId="0" borderId="10" xfId="0" applyNumberFormat="1" applyFont="1" applyBorder="1"/>
    <xf numFmtId="165" fontId="8" fillId="0" borderId="12" xfId="0" applyNumberFormat="1" applyFont="1" applyBorder="1"/>
    <xf numFmtId="0" fontId="11" fillId="0" borderId="14" xfId="0" applyFont="1" applyBorder="1"/>
    <xf numFmtId="0" fontId="8" fillId="0" borderId="10" xfId="0" applyFont="1" applyBorder="1"/>
    <xf numFmtId="0" fontId="10" fillId="0" borderId="0" xfId="0" applyFont="1" applyAlignment="1">
      <alignment wrapText="1"/>
    </xf>
    <xf numFmtId="0" fontId="8" fillId="27" borderId="31" xfId="0" applyFont="1" applyFill="1" applyBorder="1" applyAlignment="1" applyProtection="1">
      <alignment horizontal="center" vertical="center"/>
      <protection locked="0"/>
    </xf>
    <xf numFmtId="10" fontId="40" fillId="27" borderId="0" xfId="0" applyNumberFormat="1" applyFont="1" applyFill="1"/>
    <xf numFmtId="6" fontId="8" fillId="29" borderId="18" xfId="0" applyNumberFormat="1" applyFont="1" applyFill="1" applyBorder="1"/>
    <xf numFmtId="0" fontId="39" fillId="30" borderId="26" xfId="0" applyFont="1" applyFill="1" applyBorder="1"/>
    <xf numFmtId="0" fontId="8" fillId="30" borderId="22" xfId="0" applyFont="1" applyFill="1" applyBorder="1"/>
    <xf numFmtId="0" fontId="10" fillId="30" borderId="22" xfId="0" applyFont="1" applyFill="1" applyBorder="1" applyAlignment="1">
      <alignment horizontal="right"/>
    </xf>
    <xf numFmtId="0" fontId="10" fillId="31" borderId="0" xfId="0" applyFont="1" applyFill="1"/>
    <xf numFmtId="0" fontId="0" fillId="31" borderId="0" xfId="0" applyFill="1"/>
    <xf numFmtId="0" fontId="0" fillId="0" borderId="16" xfId="0" applyBorder="1"/>
    <xf numFmtId="0" fontId="8" fillId="0" borderId="0" xfId="0" applyFont="1" applyAlignment="1">
      <alignment horizontal="left" vertical="top" wrapText="1"/>
    </xf>
    <xf numFmtId="0" fontId="0" fillId="0" borderId="11" xfId="0" applyBorder="1"/>
    <xf numFmtId="0" fontId="10" fillId="0" borderId="0" xfId="0" applyFont="1" applyAlignment="1">
      <alignment horizontal="left"/>
    </xf>
    <xf numFmtId="0" fontId="10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/>
    </xf>
    <xf numFmtId="167" fontId="0" fillId="0" borderId="12" xfId="28" applyNumberFormat="1" applyFont="1" applyBorder="1"/>
    <xf numFmtId="6" fontId="0" fillId="0" borderId="0" xfId="28" applyNumberFormat="1" applyFont="1"/>
    <xf numFmtId="165" fontId="8" fillId="27" borderId="0" xfId="0" applyNumberFormat="1" applyFont="1" applyFill="1"/>
    <xf numFmtId="44" fontId="0" fillId="0" borderId="0" xfId="28" applyFont="1" applyFill="1" applyBorder="1"/>
    <xf numFmtId="167" fontId="8" fillId="0" borderId="0" xfId="28" applyNumberFormat="1" applyFont="1" applyFill="1"/>
    <xf numFmtId="0" fontId="8" fillId="0" borderId="34" xfId="0" applyFont="1" applyBorder="1"/>
    <xf numFmtId="0" fontId="8" fillId="0" borderId="19" xfId="0" applyFont="1" applyBorder="1"/>
    <xf numFmtId="0" fontId="8" fillId="0" borderId="14" xfId="0" applyFont="1" applyBorder="1"/>
    <xf numFmtId="0" fontId="48" fillId="0" borderId="0" xfId="0" applyFont="1"/>
    <xf numFmtId="0" fontId="49" fillId="0" borderId="0" xfId="0" applyFont="1" applyAlignment="1">
      <alignment horizontal="left"/>
    </xf>
    <xf numFmtId="0" fontId="50" fillId="0" borderId="0" xfId="0" applyFont="1"/>
    <xf numFmtId="20" fontId="48" fillId="0" borderId="0" xfId="0" quotePrefix="1" applyNumberFormat="1" applyFont="1" applyAlignment="1">
      <alignment horizontal="right"/>
    </xf>
    <xf numFmtId="0" fontId="8" fillId="27" borderId="35" xfId="0" applyFont="1" applyFill="1" applyBorder="1" applyAlignment="1" applyProtection="1">
      <alignment horizontal="center" vertical="center"/>
      <protection locked="0"/>
    </xf>
    <xf numFmtId="0" fontId="8" fillId="27" borderId="11" xfId="0" applyFont="1" applyFill="1" applyBorder="1" applyAlignment="1" applyProtection="1">
      <alignment horizontal="center" vertical="center"/>
      <protection locked="0"/>
    </xf>
    <xf numFmtId="0" fontId="0" fillId="29" borderId="0" xfId="0" applyFill="1"/>
    <xf numFmtId="0" fontId="37" fillId="29" borderId="0" xfId="0" applyFont="1" applyFill="1"/>
    <xf numFmtId="9" fontId="0" fillId="29" borderId="0" xfId="0" applyNumberFormat="1" applyFill="1" applyAlignment="1">
      <alignment horizontal="right"/>
    </xf>
    <xf numFmtId="0" fontId="8" fillId="27" borderId="36" xfId="0" applyFont="1" applyFill="1" applyBorder="1" applyAlignment="1" applyProtection="1">
      <alignment horizontal="center" vertical="center"/>
      <protection locked="0"/>
    </xf>
    <xf numFmtId="0" fontId="8" fillId="29" borderId="12" xfId="0" applyFont="1" applyFill="1" applyBorder="1"/>
    <xf numFmtId="0" fontId="10" fillId="29" borderId="12" xfId="0" applyFont="1" applyFill="1" applyBorder="1"/>
    <xf numFmtId="0" fontId="35" fillId="29" borderId="12" xfId="0" applyFont="1" applyFill="1" applyBorder="1" applyAlignment="1">
      <alignment horizontal="center" vertical="center"/>
    </xf>
    <xf numFmtId="0" fontId="8" fillId="29" borderId="12" xfId="0" applyFont="1" applyFill="1" applyBorder="1" applyAlignment="1">
      <alignment horizontal="center" vertical="center"/>
    </xf>
    <xf numFmtId="0" fontId="8" fillId="0" borderId="30" xfId="0" applyFont="1" applyBorder="1" applyAlignment="1">
      <alignment horizontal="right"/>
    </xf>
    <xf numFmtId="167" fontId="37" fillId="29" borderId="0" xfId="28" applyNumberFormat="1" applyFont="1" applyFill="1" applyBorder="1" applyAlignment="1"/>
    <xf numFmtId="167" fontId="0" fillId="29" borderId="0" xfId="28" applyNumberFormat="1" applyFont="1" applyFill="1" applyBorder="1" applyAlignment="1"/>
    <xf numFmtId="9" fontId="48" fillId="29" borderId="0" xfId="44" applyFont="1" applyFill="1" applyBorder="1"/>
    <xf numFmtId="167" fontId="48" fillId="29" borderId="0" xfId="28" applyNumberFormat="1" applyFont="1" applyFill="1" applyBorder="1" applyAlignment="1"/>
    <xf numFmtId="0" fontId="10" fillId="29" borderId="16" xfId="0" applyFont="1" applyFill="1" applyBorder="1" applyAlignment="1">
      <alignment horizontal="center"/>
    </xf>
    <xf numFmtId="0" fontId="10" fillId="29" borderId="15" xfId="0" applyFont="1" applyFill="1" applyBorder="1" applyAlignment="1">
      <alignment horizontal="center"/>
    </xf>
    <xf numFmtId="167" fontId="8" fillId="29" borderId="0" xfId="28" applyNumberFormat="1" applyFont="1" applyFill="1" applyBorder="1" applyAlignment="1"/>
    <xf numFmtId="9" fontId="0" fillId="29" borderId="0" xfId="44" applyFont="1" applyFill="1" applyBorder="1"/>
    <xf numFmtId="0" fontId="0" fillId="29" borderId="26" xfId="0" applyFill="1" applyBorder="1"/>
    <xf numFmtId="0" fontId="0" fillId="29" borderId="28" xfId="0" applyFill="1" applyBorder="1"/>
    <xf numFmtId="0" fontId="8" fillId="29" borderId="28" xfId="0" applyFont="1" applyFill="1" applyBorder="1"/>
    <xf numFmtId="0" fontId="48" fillId="29" borderId="28" xfId="0" applyFont="1" applyFill="1" applyBorder="1"/>
    <xf numFmtId="0" fontId="48" fillId="29" borderId="27" xfId="0" applyFont="1" applyFill="1" applyBorder="1"/>
    <xf numFmtId="0" fontId="0" fillId="29" borderId="22" xfId="0" applyFill="1" applyBorder="1"/>
    <xf numFmtId="0" fontId="10" fillId="29" borderId="0" xfId="0" applyFont="1" applyFill="1"/>
    <xf numFmtId="0" fontId="8" fillId="29" borderId="0" xfId="0" applyFont="1" applyFill="1"/>
    <xf numFmtId="0" fontId="48" fillId="29" borderId="0" xfId="0" applyFont="1" applyFill="1"/>
    <xf numFmtId="0" fontId="48" fillId="29" borderId="23" xfId="0" applyFont="1" applyFill="1" applyBorder="1"/>
    <xf numFmtId="0" fontId="41" fillId="29" borderId="0" xfId="0" applyFont="1" applyFill="1"/>
    <xf numFmtId="0" fontId="49" fillId="29" borderId="0" xfId="0" applyFont="1" applyFill="1" applyAlignment="1">
      <alignment horizontal="right"/>
    </xf>
    <xf numFmtId="0" fontId="50" fillId="29" borderId="23" xfId="0" applyFont="1" applyFill="1" applyBorder="1" applyAlignment="1">
      <alignment horizontal="right"/>
    </xf>
    <xf numFmtId="0" fontId="50" fillId="29" borderId="23" xfId="0" applyFont="1" applyFill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9" borderId="23" xfId="0" applyFill="1" applyBorder="1"/>
    <xf numFmtId="0" fontId="10" fillId="29" borderId="0" xfId="0" applyFont="1" applyFill="1" applyAlignment="1">
      <alignment horizontal="right"/>
    </xf>
    <xf numFmtId="0" fontId="10" fillId="29" borderId="0" xfId="0" applyFont="1" applyFill="1" applyAlignment="1">
      <alignment horizontal="center" vertical="center"/>
    </xf>
    <xf numFmtId="0" fontId="11" fillId="29" borderId="0" xfId="0" applyFont="1" applyFill="1"/>
    <xf numFmtId="0" fontId="10" fillId="29" borderId="0" xfId="0" applyFont="1" applyFill="1" applyAlignment="1">
      <alignment horizontal="left"/>
    </xf>
    <xf numFmtId="0" fontId="37" fillId="29" borderId="22" xfId="0" applyFont="1" applyFill="1" applyBorder="1"/>
    <xf numFmtId="0" fontId="37" fillId="29" borderId="23" xfId="0" applyFont="1" applyFill="1" applyBorder="1"/>
    <xf numFmtId="0" fontId="10" fillId="26" borderId="0" xfId="0" applyFont="1" applyFill="1" applyAlignment="1">
      <alignment horizontal="left"/>
    </xf>
    <xf numFmtId="0" fontId="35" fillId="29" borderId="0" xfId="0" applyFont="1" applyFill="1"/>
    <xf numFmtId="0" fontId="0" fillId="29" borderId="29" xfId="0" applyFill="1" applyBorder="1"/>
    <xf numFmtId="0" fontId="35" fillId="0" borderId="16" xfId="0" applyFont="1" applyBorder="1"/>
    <xf numFmtId="0" fontId="35" fillId="0" borderId="30" xfId="0" applyFont="1" applyBorder="1"/>
    <xf numFmtId="0" fontId="0" fillId="0" borderId="30" xfId="0" applyBorder="1"/>
    <xf numFmtId="0" fontId="11" fillId="29" borderId="18" xfId="0" applyFont="1" applyFill="1" applyBorder="1"/>
    <xf numFmtId="0" fontId="0" fillId="27" borderId="22" xfId="0" applyFill="1" applyBorder="1"/>
    <xf numFmtId="0" fontId="47" fillId="33" borderId="26" xfId="0" applyFont="1" applyFill="1" applyBorder="1" applyAlignment="1">
      <alignment horizontal="left"/>
    </xf>
    <xf numFmtId="0" fontId="0" fillId="33" borderId="28" xfId="0" applyFill="1" applyBorder="1"/>
    <xf numFmtId="0" fontId="10" fillId="33" borderId="28" xfId="0" applyFont="1" applyFill="1" applyBorder="1" applyAlignment="1">
      <alignment horizontal="center" vertical="center"/>
    </xf>
    <xf numFmtId="0" fontId="10" fillId="33" borderId="27" xfId="0" applyFont="1" applyFill="1" applyBorder="1" applyAlignment="1">
      <alignment horizontal="center" vertical="center"/>
    </xf>
    <xf numFmtId="0" fontId="0" fillId="33" borderId="22" xfId="0" applyFill="1" applyBorder="1"/>
    <xf numFmtId="0" fontId="0" fillId="33" borderId="0" xfId="0" applyFill="1"/>
    <xf numFmtId="6" fontId="0" fillId="33" borderId="0" xfId="0" applyNumberFormat="1" applyFill="1" applyAlignment="1">
      <alignment horizontal="center" vertical="center"/>
    </xf>
    <xf numFmtId="0" fontId="0" fillId="33" borderId="24" xfId="0" applyFill="1" applyBorder="1"/>
    <xf numFmtId="9" fontId="48" fillId="32" borderId="22" xfId="44" applyFont="1" applyFill="1" applyBorder="1" applyAlignment="1">
      <alignment horizontal="center"/>
    </xf>
    <xf numFmtId="0" fontId="0" fillId="29" borderId="25" xfId="0" applyFill="1" applyBorder="1"/>
    <xf numFmtId="0" fontId="10" fillId="26" borderId="16" xfId="0" applyFont="1" applyFill="1" applyBorder="1" applyAlignment="1">
      <alignment horizontal="left"/>
    </xf>
    <xf numFmtId="0" fontId="0" fillId="26" borderId="0" xfId="0" applyFill="1"/>
    <xf numFmtId="0" fontId="10" fillId="26" borderId="0" xfId="0" applyFont="1" applyFill="1"/>
    <xf numFmtId="0" fontId="11" fillId="29" borderId="0" xfId="0" applyFont="1" applyFill="1" applyAlignment="1">
      <alignment horizontal="left"/>
    </xf>
    <xf numFmtId="0" fontId="10" fillId="26" borderId="0" xfId="0" applyFont="1" applyFill="1" applyAlignment="1">
      <alignment horizontal="left" vertical="center"/>
    </xf>
    <xf numFmtId="0" fontId="10" fillId="29" borderId="12" xfId="0" applyFont="1" applyFill="1" applyBorder="1" applyAlignment="1">
      <alignment horizontal="left" vertical="center"/>
    </xf>
    <xf numFmtId="0" fontId="11" fillId="29" borderId="26" xfId="0" applyFont="1" applyFill="1" applyBorder="1"/>
    <xf numFmtId="0" fontId="10" fillId="29" borderId="27" xfId="0" applyFont="1" applyFill="1" applyBorder="1"/>
    <xf numFmtId="0" fontId="11" fillId="29" borderId="24" xfId="0" applyFont="1" applyFill="1" applyBorder="1"/>
    <xf numFmtId="0" fontId="8" fillId="29" borderId="28" xfId="0" applyFont="1" applyFill="1" applyBorder="1" applyAlignment="1">
      <alignment horizontal="right"/>
    </xf>
    <xf numFmtId="0" fontId="8" fillId="29" borderId="29" xfId="0" applyFont="1" applyFill="1" applyBorder="1" applyAlignment="1">
      <alignment horizontal="right"/>
    </xf>
    <xf numFmtId="9" fontId="0" fillId="29" borderId="25" xfId="44" applyFont="1" applyFill="1" applyBorder="1"/>
    <xf numFmtId="0" fontId="8" fillId="0" borderId="0" xfId="0" applyFont="1" applyAlignment="1">
      <alignment horizontal="right" vertical="top" wrapText="1"/>
    </xf>
    <xf numFmtId="0" fontId="45" fillId="0" borderId="0" xfId="0" applyFont="1"/>
    <xf numFmtId="9" fontId="40" fillId="28" borderId="0" xfId="0" applyNumberFormat="1" applyFont="1" applyFill="1"/>
    <xf numFmtId="6" fontId="40" fillId="0" borderId="0" xfId="0" applyNumberFormat="1" applyFont="1"/>
    <xf numFmtId="165" fontId="40" fillId="0" borderId="0" xfId="0" applyNumberFormat="1" applyFont="1"/>
    <xf numFmtId="9" fontId="40" fillId="0" borderId="0" xfId="0" applyNumberFormat="1" applyFont="1"/>
    <xf numFmtId="6" fontId="53" fillId="0" borderId="0" xfId="0" applyNumberFormat="1" applyFont="1"/>
    <xf numFmtId="0" fontId="40" fillId="0" borderId="0" xfId="0" quotePrefix="1" applyFont="1"/>
    <xf numFmtId="0" fontId="40" fillId="35" borderId="0" xfId="0" applyFont="1" applyFill="1"/>
    <xf numFmtId="168" fontId="53" fillId="35" borderId="0" xfId="0" applyNumberFormat="1" applyFont="1" applyFill="1"/>
    <xf numFmtId="169" fontId="40" fillId="35" borderId="0" xfId="0" applyNumberFormat="1" applyFont="1" applyFill="1"/>
    <xf numFmtId="8" fontId="40" fillId="0" borderId="0" xfId="0" applyNumberFormat="1" applyFont="1"/>
    <xf numFmtId="167" fontId="40" fillId="0" borderId="0" xfId="28" applyNumberFormat="1" applyFont="1" applyAlignment="1">
      <alignment horizontal="center" vertical="center"/>
    </xf>
    <xf numFmtId="167" fontId="40" fillId="0" borderId="0" xfId="28" applyNumberFormat="1" applyFont="1" applyFill="1" applyAlignment="1">
      <alignment horizontal="center" vertical="center" wrapText="1"/>
    </xf>
    <xf numFmtId="0" fontId="40" fillId="0" borderId="0" xfId="0" applyFont="1" applyAlignment="1">
      <alignment wrapText="1"/>
    </xf>
    <xf numFmtId="167" fontId="40" fillId="0" borderId="0" xfId="44" applyNumberFormat="1" applyFont="1" applyFill="1"/>
    <xf numFmtId="14" fontId="40" fillId="29" borderId="28" xfId="0" applyNumberFormat="1" applyFont="1" applyFill="1" applyBorder="1" applyAlignment="1">
      <alignment horizontal="left"/>
    </xf>
    <xf numFmtId="0" fontId="40" fillId="29" borderId="0" xfId="0" applyFont="1" applyFill="1"/>
    <xf numFmtId="0" fontId="40" fillId="29" borderId="0" xfId="0" applyFont="1" applyFill="1" applyAlignment="1">
      <alignment horizontal="right"/>
    </xf>
    <xf numFmtId="9" fontId="40" fillId="29" borderId="0" xfId="0" applyNumberFormat="1" applyFont="1" applyFill="1"/>
    <xf numFmtId="9" fontId="40" fillId="29" borderId="0" xfId="44" applyFont="1" applyFill="1" applyBorder="1"/>
    <xf numFmtId="0" fontId="0" fillId="35" borderId="27" xfId="0" applyFill="1" applyBorder="1"/>
    <xf numFmtId="0" fontId="0" fillId="35" borderId="22" xfId="0" applyFill="1" applyBorder="1"/>
    <xf numFmtId="0" fontId="10" fillId="35" borderId="23" xfId="0" applyFont="1" applyFill="1" applyBorder="1"/>
    <xf numFmtId="0" fontId="37" fillId="35" borderId="22" xfId="0" applyFont="1" applyFill="1" applyBorder="1"/>
    <xf numFmtId="167" fontId="40" fillId="35" borderId="0" xfId="28" applyNumberFormat="1" applyFont="1" applyFill="1" applyBorder="1" applyAlignment="1">
      <alignment horizontal="right"/>
    </xf>
    <xf numFmtId="167" fontId="8" fillId="35" borderId="0" xfId="28" applyNumberFormat="1" applyFont="1" applyFill="1" applyBorder="1" applyAlignment="1">
      <alignment horizontal="right"/>
    </xf>
    <xf numFmtId="167" fontId="8" fillId="35" borderId="29" xfId="28" applyNumberFormat="1" applyFont="1" applyFill="1" applyBorder="1" applyAlignment="1">
      <alignment horizontal="right"/>
    </xf>
    <xf numFmtId="0" fontId="39" fillId="35" borderId="26" xfId="0" applyFont="1" applyFill="1" applyBorder="1" applyAlignment="1">
      <alignment horizontal="left" vertical="top"/>
    </xf>
    <xf numFmtId="0" fontId="0" fillId="35" borderId="28" xfId="0" applyFill="1" applyBorder="1"/>
    <xf numFmtId="0" fontId="48" fillId="29" borderId="0" xfId="0" applyFont="1" applyFill="1" applyAlignment="1">
      <alignment vertical="center"/>
    </xf>
    <xf numFmtId="167" fontId="0" fillId="27" borderId="11" xfId="28" applyNumberFormat="1" applyFont="1" applyFill="1" applyBorder="1"/>
    <xf numFmtId="44" fontId="0" fillId="27" borderId="11" xfId="28" applyFont="1" applyFill="1" applyBorder="1"/>
    <xf numFmtId="44" fontId="0" fillId="27" borderId="11" xfId="28" applyFont="1" applyFill="1" applyBorder="1" applyAlignment="1">
      <alignment horizontal="right"/>
    </xf>
    <xf numFmtId="0" fontId="8" fillId="0" borderId="0" xfId="0" applyFont="1" applyAlignment="1">
      <alignment horizontal="left" vertical="top"/>
    </xf>
    <xf numFmtId="0" fontId="8" fillId="24" borderId="0" xfId="0" applyFont="1" applyFill="1"/>
    <xf numFmtId="0" fontId="8" fillId="28" borderId="0" xfId="0" applyFont="1" applyFill="1"/>
    <xf numFmtId="0" fontId="8" fillId="25" borderId="0" xfId="0" applyFont="1" applyFill="1"/>
    <xf numFmtId="0" fontId="8" fillId="26" borderId="0" xfId="0" applyFont="1" applyFill="1"/>
    <xf numFmtId="0" fontId="8" fillId="28" borderId="0" xfId="0" applyFont="1" applyFill="1" applyAlignment="1" applyProtection="1">
      <alignment wrapText="1"/>
      <protection locked="0"/>
    </xf>
    <xf numFmtId="2" fontId="8" fillId="0" borderId="0" xfId="0" applyNumberFormat="1" applyFont="1"/>
    <xf numFmtId="0" fontId="8" fillId="28" borderId="0" xfId="0" applyFont="1" applyFill="1" applyProtection="1">
      <protection locked="0"/>
    </xf>
    <xf numFmtId="6" fontId="8" fillId="28" borderId="0" xfId="0" applyNumberFormat="1" applyFont="1" applyFill="1"/>
    <xf numFmtId="0" fontId="54" fillId="0" borderId="0" xfId="0" applyFont="1"/>
    <xf numFmtId="0" fontId="8" fillId="0" borderId="12" xfId="0" applyFont="1" applyBorder="1" applyAlignment="1" applyProtection="1">
      <alignment wrapText="1"/>
      <protection locked="0"/>
    </xf>
    <xf numFmtId="9" fontId="8" fillId="24" borderId="0" xfId="0" applyNumberFormat="1" applyFont="1" applyFill="1"/>
    <xf numFmtId="0" fontId="8" fillId="0" borderId="0" xfId="0" applyFont="1" applyAlignment="1">
      <alignment horizontal="center"/>
    </xf>
    <xf numFmtId="164" fontId="8" fillId="0" borderId="0" xfId="0" applyNumberFormat="1" applyFont="1"/>
    <xf numFmtId="0" fontId="8" fillId="0" borderId="0" xfId="35" applyFont="1" applyAlignment="1" applyProtection="1"/>
    <xf numFmtId="0" fontId="8" fillId="0" borderId="23" xfId="0" applyFont="1" applyBorder="1"/>
    <xf numFmtId="0" fontId="8" fillId="30" borderId="27" xfId="0" applyFont="1" applyFill="1" applyBorder="1"/>
    <xf numFmtId="2" fontId="8" fillId="0" borderId="23" xfId="0" applyNumberFormat="1" applyFont="1" applyBorder="1"/>
    <xf numFmtId="44" fontId="8" fillId="30" borderId="23" xfId="28" applyFont="1" applyFill="1" applyBorder="1"/>
    <xf numFmtId="44" fontId="8" fillId="30" borderId="32" xfId="28" applyFont="1" applyFill="1" applyBorder="1"/>
    <xf numFmtId="0" fontId="8" fillId="30" borderId="24" xfId="0" applyFont="1" applyFill="1" applyBorder="1"/>
    <xf numFmtId="44" fontId="8" fillId="30" borderId="25" xfId="0" applyNumberFormat="1" applyFont="1" applyFill="1" applyBorder="1"/>
    <xf numFmtId="43" fontId="8" fillId="27" borderId="0" xfId="61" applyFont="1" applyFill="1"/>
    <xf numFmtId="167" fontId="40" fillId="0" borderId="0" xfId="28" applyNumberFormat="1" applyFont="1" applyFill="1"/>
    <xf numFmtId="44" fontId="40" fillId="0" borderId="0" xfId="0" applyNumberFormat="1" applyFont="1" applyAlignment="1">
      <alignment wrapText="1"/>
    </xf>
    <xf numFmtId="167" fontId="8" fillId="0" borderId="0" xfId="44" applyNumberFormat="1" applyFont="1" applyFill="1"/>
    <xf numFmtId="1" fontId="34" fillId="0" borderId="0" xfId="0" applyNumberFormat="1" applyFont="1"/>
    <xf numFmtId="165" fontId="10" fillId="0" borderId="30" xfId="0" applyNumberFormat="1" applyFont="1" applyBorder="1"/>
    <xf numFmtId="0" fontId="48" fillId="0" borderId="0" xfId="0" applyFont="1" applyAlignment="1" applyProtection="1">
      <alignment vertical="top" wrapText="1"/>
      <protection hidden="1"/>
    </xf>
    <xf numFmtId="9" fontId="55" fillId="0" borderId="0" xfId="0" applyNumberFormat="1" applyFont="1"/>
    <xf numFmtId="6" fontId="56" fillId="0" borderId="0" xfId="0" applyNumberFormat="1" applyFont="1"/>
    <xf numFmtId="0" fontId="55" fillId="0" borderId="0" xfId="0" applyFont="1"/>
    <xf numFmtId="167" fontId="8" fillId="0" borderId="16" xfId="0" applyNumberFormat="1" applyFont="1" applyBorder="1"/>
    <xf numFmtId="167" fontId="37" fillId="27" borderId="11" xfId="28" applyNumberFormat="1" applyFont="1" applyFill="1" applyBorder="1"/>
    <xf numFmtId="44" fontId="0" fillId="0" borderId="0" xfId="28" applyFont="1"/>
    <xf numFmtId="44" fontId="0" fillId="0" borderId="0" xfId="28" applyFont="1" applyAlignment="1">
      <alignment horizontal="right"/>
    </xf>
    <xf numFmtId="167" fontId="0" fillId="0" borderId="0" xfId="0" applyNumberFormat="1"/>
    <xf numFmtId="167" fontId="0" fillId="0" borderId="0" xfId="28" applyNumberFormat="1" applyFont="1" applyBorder="1"/>
    <xf numFmtId="44" fontId="0" fillId="29" borderId="0" xfId="28" applyFont="1" applyFill="1" applyBorder="1"/>
    <xf numFmtId="167" fontId="8" fillId="0" borderId="0" xfId="0" applyNumberFormat="1" applyFont="1"/>
    <xf numFmtId="167" fontId="40" fillId="0" borderId="16" xfId="44" applyNumberFormat="1" applyFont="1" applyFill="1" applyBorder="1"/>
    <xf numFmtId="0" fontId="55" fillId="0" borderId="0" xfId="0" applyFont="1" applyAlignment="1">
      <alignment vertical="top"/>
    </xf>
    <xf numFmtId="0" fontId="11" fillId="29" borderId="18" xfId="0" applyFont="1" applyFill="1" applyBorder="1" applyAlignment="1">
      <alignment horizontal="left"/>
    </xf>
    <xf numFmtId="0" fontId="45" fillId="0" borderId="13" xfId="0" applyFont="1" applyBorder="1" applyAlignment="1">
      <alignment horizontal="right" vertical="center"/>
    </xf>
    <xf numFmtId="0" fontId="40" fillId="0" borderId="0" xfId="63" applyFont="1"/>
    <xf numFmtId="0" fontId="40" fillId="0" borderId="20" xfId="63" applyFont="1" applyBorder="1" applyAlignment="1">
      <alignment vertical="top"/>
    </xf>
    <xf numFmtId="0" fontId="40" fillId="0" borderId="21" xfId="63" applyFont="1" applyBorder="1" applyAlignment="1">
      <alignment vertical="top"/>
    </xf>
    <xf numFmtId="0" fontId="40" fillId="0" borderId="20" xfId="63" applyFont="1" applyBorder="1"/>
    <xf numFmtId="0" fontId="40" fillId="0" borderId="21" xfId="63" applyFont="1" applyBorder="1"/>
    <xf numFmtId="0" fontId="8" fillId="0" borderId="0" xfId="63"/>
    <xf numFmtId="0" fontId="40" fillId="0" borderId="15" xfId="63" applyFont="1" applyBorder="1" applyAlignment="1">
      <alignment horizontal="center"/>
    </xf>
    <xf numFmtId="0" fontId="40" fillId="0" borderId="17" xfId="63" applyFont="1" applyBorder="1" applyAlignment="1">
      <alignment horizontal="center"/>
    </xf>
    <xf numFmtId="0" fontId="40" fillId="0" borderId="34" xfId="63" applyFont="1" applyBorder="1"/>
    <xf numFmtId="0" fontId="40" fillId="0" borderId="18" xfId="63" applyFont="1" applyBorder="1"/>
    <xf numFmtId="0" fontId="40" fillId="0" borderId="13" xfId="63" applyFont="1" applyBorder="1"/>
    <xf numFmtId="2" fontId="40" fillId="0" borderId="18" xfId="63" applyNumberFormat="1" applyFont="1" applyBorder="1"/>
    <xf numFmtId="0" fontId="40" fillId="0" borderId="19" xfId="63" applyFont="1" applyBorder="1"/>
    <xf numFmtId="0" fontId="8" fillId="0" borderId="15" xfId="63" applyBorder="1" applyAlignment="1">
      <alignment horizontal="center"/>
    </xf>
    <xf numFmtId="0" fontId="8" fillId="0" borderId="16" xfId="63" applyBorder="1" applyAlignment="1">
      <alignment horizontal="center"/>
    </xf>
    <xf numFmtId="0" fontId="8" fillId="0" borderId="17" xfId="63" applyBorder="1" applyAlignment="1">
      <alignment horizontal="center"/>
    </xf>
    <xf numFmtId="0" fontId="8" fillId="0" borderId="34" xfId="63" applyBorder="1"/>
    <xf numFmtId="0" fontId="8" fillId="0" borderId="18" xfId="63" applyBorder="1"/>
    <xf numFmtId="0" fontId="8" fillId="0" borderId="13" xfId="63" applyBorder="1"/>
    <xf numFmtId="0" fontId="8" fillId="0" borderId="19" xfId="63" applyBorder="1"/>
    <xf numFmtId="0" fontId="8" fillId="0" borderId="14" xfId="63" applyBorder="1"/>
    <xf numFmtId="0" fontId="8" fillId="0" borderId="15" xfId="63" applyBorder="1"/>
    <xf numFmtId="0" fontId="8" fillId="0" borderId="16" xfId="63" applyBorder="1"/>
    <xf numFmtId="0" fontId="8" fillId="0" borderId="17" xfId="63" applyBorder="1"/>
    <xf numFmtId="0" fontId="8" fillId="0" borderId="0" xfId="63" applyAlignment="1">
      <alignment horizontal="left"/>
    </xf>
    <xf numFmtId="0" fontId="10" fillId="0" borderId="0" xfId="63" applyFont="1"/>
    <xf numFmtId="0" fontId="57" fillId="0" borderId="0" xfId="63" applyFont="1"/>
    <xf numFmtId="0" fontId="10" fillId="0" borderId="11" xfId="63" applyFont="1" applyBorder="1"/>
    <xf numFmtId="0" fontId="10" fillId="0" borderId="11" xfId="63" applyFont="1" applyBorder="1" applyAlignment="1">
      <alignment horizontal="center" vertical="center"/>
    </xf>
    <xf numFmtId="0" fontId="10" fillId="0" borderId="18" xfId="63" applyFont="1" applyBorder="1" applyAlignment="1">
      <alignment horizontal="center" vertical="center"/>
    </xf>
    <xf numFmtId="0" fontId="8" fillId="0" borderId="11" xfId="63" applyBorder="1" applyAlignment="1">
      <alignment horizontal="left"/>
    </xf>
    <xf numFmtId="167" fontId="8" fillId="27" borderId="11" xfId="63" applyNumberFormat="1" applyFill="1" applyBorder="1"/>
    <xf numFmtId="167" fontId="8" fillId="0" borderId="0" xfId="63" applyNumberFormat="1"/>
    <xf numFmtId="44" fontId="8" fillId="0" borderId="0" xfId="63" applyNumberFormat="1"/>
    <xf numFmtId="0" fontId="11" fillId="0" borderId="0" xfId="63" applyFont="1" applyAlignment="1">
      <alignment horizontal="left"/>
    </xf>
    <xf numFmtId="0" fontId="8" fillId="27" borderId="11" xfId="63" applyFill="1" applyBorder="1"/>
    <xf numFmtId="6" fontId="8" fillId="0" borderId="0" xfId="63" applyNumberFormat="1"/>
    <xf numFmtId="0" fontId="57" fillId="0" borderId="0" xfId="63" applyFont="1" applyAlignment="1">
      <alignment horizontal="left"/>
    </xf>
    <xf numFmtId="44" fontId="8" fillId="27" borderId="11" xfId="63" applyNumberFormat="1" applyFill="1" applyBorder="1"/>
    <xf numFmtId="0" fontId="0" fillId="0" borderId="19" xfId="0" applyBorder="1"/>
    <xf numFmtId="167" fontId="11" fillId="29" borderId="0" xfId="28" applyNumberFormat="1" applyFont="1" applyFill="1" applyBorder="1" applyAlignment="1"/>
    <xf numFmtId="167" fontId="8" fillId="0" borderId="0" xfId="28" applyNumberFormat="1" applyFont="1" applyFill="1" applyBorder="1" applyAlignment="1"/>
    <xf numFmtId="0" fontId="35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left"/>
    </xf>
    <xf numFmtId="0" fontId="10" fillId="0" borderId="14" xfId="0" applyFont="1" applyBorder="1" applyAlignment="1">
      <alignment horizontal="left"/>
    </xf>
    <xf numFmtId="0" fontId="11" fillId="0" borderId="10" xfId="63" applyFont="1" applyBorder="1" applyAlignment="1">
      <alignment horizontal="right"/>
    </xf>
    <xf numFmtId="44" fontId="11" fillId="0" borderId="33" xfId="63" applyNumberFormat="1" applyFont="1" applyBorder="1"/>
    <xf numFmtId="0" fontId="11" fillId="0" borderId="0" xfId="63" applyFont="1" applyAlignment="1">
      <alignment horizontal="right"/>
    </xf>
    <xf numFmtId="43" fontId="11" fillId="0" borderId="0" xfId="63" applyNumberFormat="1" applyFont="1"/>
    <xf numFmtId="0" fontId="52" fillId="34" borderId="0" xfId="63" applyFont="1" applyFill="1" applyAlignment="1">
      <alignment horizontal="left" vertical="top"/>
    </xf>
    <xf numFmtId="8" fontId="35" fillId="34" borderId="0" xfId="63" applyNumberFormat="1" applyFont="1" applyFill="1" applyAlignment="1">
      <alignment horizontal="left" vertical="top"/>
    </xf>
    <xf numFmtId="0" fontId="10" fillId="34" borderId="0" xfId="63" applyFont="1" applyFill="1" applyAlignment="1">
      <alignment horizontal="left" vertical="top"/>
    </xf>
    <xf numFmtId="0" fontId="8" fillId="0" borderId="20" xfId="63" applyBorder="1"/>
    <xf numFmtId="0" fontId="8" fillId="0" borderId="21" xfId="63" applyBorder="1"/>
    <xf numFmtId="0" fontId="10" fillId="33" borderId="0" xfId="63" applyFont="1" applyFill="1"/>
    <xf numFmtId="0" fontId="10" fillId="0" borderId="12" xfId="63" applyFont="1" applyBorder="1" applyAlignment="1">
      <alignment horizontal="right"/>
    </xf>
    <xf numFmtId="0" fontId="8" fillId="0" borderId="12" xfId="63" applyBorder="1"/>
    <xf numFmtId="8" fontId="8" fillId="0" borderId="0" xfId="63" applyNumberFormat="1"/>
    <xf numFmtId="8" fontId="8" fillId="0" borderId="12" xfId="63" applyNumberFormat="1" applyBorder="1"/>
    <xf numFmtId="6" fontId="8" fillId="0" borderId="12" xfId="63" applyNumberFormat="1" applyBorder="1"/>
    <xf numFmtId="0" fontId="10" fillId="0" borderId="0" xfId="63" applyFont="1" applyAlignment="1">
      <alignment horizontal="right"/>
    </xf>
    <xf numFmtId="44" fontId="8" fillId="0" borderId="0" xfId="0" applyNumberFormat="1" applyFont="1"/>
    <xf numFmtId="6" fontId="8" fillId="0" borderId="12" xfId="0" applyNumberFormat="1" applyFont="1" applyBorder="1"/>
    <xf numFmtId="0" fontId="37" fillId="0" borderId="0" xfId="63" applyFont="1"/>
    <xf numFmtId="167" fontId="11" fillId="0" borderId="0" xfId="0" applyNumberFormat="1" applyFont="1"/>
    <xf numFmtId="0" fontId="8" fillId="0" borderId="13" xfId="0" applyFont="1" applyBorder="1"/>
    <xf numFmtId="167" fontId="8" fillId="0" borderId="0" xfId="28" applyNumberFormat="1" applyFont="1"/>
    <xf numFmtId="167" fontId="40" fillId="0" borderId="0" xfId="28" applyNumberFormat="1" applyFont="1"/>
    <xf numFmtId="44" fontId="8" fillId="0" borderId="18" xfId="28" applyFont="1" applyBorder="1"/>
    <xf numFmtId="167" fontId="0" fillId="0" borderId="11" xfId="28" applyNumberFormat="1" applyFont="1" applyFill="1" applyBorder="1"/>
    <xf numFmtId="167" fontId="40" fillId="0" borderId="11" xfId="28" applyNumberFormat="1" applyFont="1" applyFill="1" applyBorder="1"/>
    <xf numFmtId="167" fontId="8" fillId="0" borderId="11" xfId="63" applyNumberFormat="1" applyBorder="1"/>
    <xf numFmtId="0" fontId="8" fillId="29" borderId="0" xfId="0" applyFont="1" applyFill="1" applyAlignment="1">
      <alignment horizontal="left"/>
    </xf>
    <xf numFmtId="0" fontId="8" fillId="29" borderId="0" xfId="0" applyFont="1" applyFill="1" applyAlignment="1">
      <alignment horizontal="right"/>
    </xf>
    <xf numFmtId="0" fontId="37" fillId="0" borderId="0" xfId="0" applyFont="1" applyAlignment="1">
      <alignment vertical="center"/>
    </xf>
    <xf numFmtId="0" fontId="50" fillId="29" borderId="0" xfId="0" applyFont="1" applyFill="1" applyAlignment="1">
      <alignment horizontal="left"/>
    </xf>
    <xf numFmtId="0" fontId="39" fillId="29" borderId="0" xfId="0" applyFont="1" applyFill="1"/>
    <xf numFmtId="0" fontId="8" fillId="29" borderId="0" xfId="0" applyFont="1" applyFill="1" applyAlignment="1">
      <alignment horizontal="left" vertical="top"/>
    </xf>
    <xf numFmtId="0" fontId="10" fillId="29" borderId="0" xfId="0" applyFont="1" applyFill="1" applyAlignment="1">
      <alignment horizontal="center"/>
    </xf>
    <xf numFmtId="9" fontId="48" fillId="29" borderId="0" xfId="44" applyFont="1" applyFill="1" applyBorder="1" applyAlignment="1">
      <alignment horizontal="center"/>
    </xf>
    <xf numFmtId="0" fontId="0" fillId="33" borderId="29" xfId="0" applyFill="1" applyBorder="1"/>
    <xf numFmtId="6" fontId="0" fillId="33" borderId="29" xfId="0" applyNumberFormat="1" applyFill="1" applyBorder="1" applyAlignment="1">
      <alignment horizontal="center" vertical="center"/>
    </xf>
    <xf numFmtId="0" fontId="0" fillId="36" borderId="0" xfId="0" applyFill="1"/>
    <xf numFmtId="0" fontId="0" fillId="36" borderId="22" xfId="0" applyFill="1" applyBorder="1"/>
    <xf numFmtId="0" fontId="0" fillId="36" borderId="24" xfId="0" applyFill="1" applyBorder="1"/>
    <xf numFmtId="0" fontId="11" fillId="36" borderId="22" xfId="0" applyFont="1" applyFill="1" applyBorder="1"/>
    <xf numFmtId="0" fontId="10" fillId="37" borderId="28" xfId="0" applyFont="1" applyFill="1" applyBorder="1" applyAlignment="1">
      <alignment horizontal="center" vertical="center"/>
    </xf>
    <xf numFmtId="0" fontId="11" fillId="37" borderId="22" xfId="0" applyFont="1" applyFill="1" applyBorder="1"/>
    <xf numFmtId="0" fontId="0" fillId="37" borderId="0" xfId="0" applyFill="1"/>
    <xf numFmtId="6" fontId="0" fillId="37" borderId="0" xfId="0" applyNumberFormat="1" applyFill="1" applyAlignment="1">
      <alignment horizontal="center" vertical="center"/>
    </xf>
    <xf numFmtId="0" fontId="0" fillId="37" borderId="22" xfId="0" applyFill="1" applyBorder="1"/>
    <xf numFmtId="0" fontId="0" fillId="37" borderId="24" xfId="0" applyFill="1" applyBorder="1"/>
    <xf numFmtId="0" fontId="0" fillId="37" borderId="29" xfId="0" applyFill="1" applyBorder="1"/>
    <xf numFmtId="6" fontId="0" fillId="37" borderId="29" xfId="0" applyNumberFormat="1" applyFill="1" applyBorder="1" applyAlignment="1">
      <alignment horizontal="center" vertical="center"/>
    </xf>
    <xf numFmtId="0" fontId="0" fillId="36" borderId="29" xfId="0" applyFill="1" applyBorder="1"/>
    <xf numFmtId="44" fontId="0" fillId="29" borderId="0" xfId="0" applyNumberFormat="1" applyFill="1"/>
    <xf numFmtId="0" fontId="47" fillId="38" borderId="26" xfId="0" applyFont="1" applyFill="1" applyBorder="1"/>
    <xf numFmtId="0" fontId="38" fillId="38" borderId="27" xfId="0" applyFont="1" applyFill="1" applyBorder="1"/>
    <xf numFmtId="0" fontId="38" fillId="38" borderId="22" xfId="0" applyFont="1" applyFill="1" applyBorder="1"/>
    <xf numFmtId="0" fontId="38" fillId="38" borderId="23" xfId="0" applyFont="1" applyFill="1" applyBorder="1"/>
    <xf numFmtId="0" fontId="38" fillId="38" borderId="37" xfId="0" applyFont="1" applyFill="1" applyBorder="1"/>
    <xf numFmtId="0" fontId="38" fillId="38" borderId="41" xfId="0" applyFont="1" applyFill="1" applyBorder="1" applyAlignment="1">
      <alignment horizontal="center"/>
    </xf>
    <xf numFmtId="0" fontId="38" fillId="38" borderId="42" xfId="0" applyFont="1" applyFill="1" applyBorder="1"/>
    <xf numFmtId="0" fontId="38" fillId="38" borderId="43" xfId="0" applyFont="1" applyFill="1" applyBorder="1" applyAlignment="1">
      <alignment horizontal="center"/>
    </xf>
    <xf numFmtId="0" fontId="51" fillId="38" borderId="22" xfId="0" applyFont="1" applyFill="1" applyBorder="1"/>
    <xf numFmtId="0" fontId="58" fillId="38" borderId="22" xfId="0" applyFont="1" applyFill="1" applyBorder="1"/>
    <xf numFmtId="167" fontId="38" fillId="38" borderId="23" xfId="28" applyNumberFormat="1" applyFont="1" applyFill="1" applyBorder="1"/>
    <xf numFmtId="0" fontId="38" fillId="38" borderId="44" xfId="0" applyFont="1" applyFill="1" applyBorder="1"/>
    <xf numFmtId="167" fontId="38" fillId="38" borderId="32" xfId="28" applyNumberFormat="1" applyFont="1" applyFill="1" applyBorder="1"/>
    <xf numFmtId="167" fontId="58" fillId="38" borderId="23" xfId="28" applyNumberFormat="1" applyFont="1" applyFill="1" applyBorder="1"/>
    <xf numFmtId="0" fontId="51" fillId="38" borderId="44" xfId="0" applyFont="1" applyFill="1" applyBorder="1"/>
    <xf numFmtId="167" fontId="51" fillId="38" borderId="32" xfId="28" applyNumberFormat="1" applyFont="1" applyFill="1" applyBorder="1"/>
    <xf numFmtId="6" fontId="38" fillId="38" borderId="23" xfId="0" applyNumberFormat="1" applyFont="1" applyFill="1" applyBorder="1"/>
    <xf numFmtId="0" fontId="38" fillId="38" borderId="24" xfId="0" applyFont="1" applyFill="1" applyBorder="1"/>
    <xf numFmtId="9" fontId="38" fillId="38" borderId="25" xfId="44" applyFont="1" applyFill="1" applyBorder="1"/>
    <xf numFmtId="0" fontId="11" fillId="29" borderId="0" xfId="0" applyFont="1" applyFill="1" applyAlignment="1">
      <alignment horizontal="right"/>
    </xf>
    <xf numFmtId="44" fontId="8" fillId="0" borderId="30" xfId="0" applyNumberFormat="1" applyFont="1" applyBorder="1" applyAlignment="1">
      <alignment horizontal="right" wrapText="1"/>
    </xf>
    <xf numFmtId="0" fontId="0" fillId="35" borderId="0" xfId="0" applyFill="1"/>
    <xf numFmtId="9" fontId="0" fillId="35" borderId="0" xfId="44" applyFont="1" applyFill="1" applyBorder="1"/>
    <xf numFmtId="0" fontId="0" fillId="35" borderId="23" xfId="0" applyFill="1" applyBorder="1"/>
    <xf numFmtId="0" fontId="50" fillId="26" borderId="0" xfId="0" applyFont="1" applyFill="1" applyAlignment="1">
      <alignment vertical="center"/>
    </xf>
    <xf numFmtId="0" fontId="48" fillId="26" borderId="0" xfId="0" applyFont="1" applyFill="1"/>
    <xf numFmtId="0" fontId="35" fillId="26" borderId="0" xfId="0" applyFont="1" applyFill="1"/>
    <xf numFmtId="167" fontId="38" fillId="38" borderId="32" xfId="0" applyNumberFormat="1" applyFont="1" applyFill="1" applyBorder="1"/>
    <xf numFmtId="167" fontId="38" fillId="38" borderId="23" xfId="0" applyNumberFormat="1" applyFont="1" applyFill="1" applyBorder="1"/>
    <xf numFmtId="1" fontId="0" fillId="0" borderId="11" xfId="28" applyNumberFormat="1" applyFont="1" applyFill="1" applyBorder="1"/>
    <xf numFmtId="0" fontId="46" fillId="29" borderId="0" xfId="0" applyFont="1" applyFill="1"/>
    <xf numFmtId="0" fontId="0" fillId="0" borderId="28" xfId="0" applyBorder="1"/>
    <xf numFmtId="167" fontId="45" fillId="0" borderId="0" xfId="28" applyNumberFormat="1" applyFont="1" applyFill="1"/>
    <xf numFmtId="1" fontId="11" fillId="0" borderId="0" xfId="0" applyNumberFormat="1" applyFont="1"/>
    <xf numFmtId="0" fontId="48" fillId="0" borderId="22" xfId="0" applyFont="1" applyBorder="1"/>
    <xf numFmtId="0" fontId="49" fillId="0" borderId="22" xfId="0" applyFont="1" applyBorder="1" applyAlignment="1">
      <alignment horizontal="right"/>
    </xf>
    <xf numFmtId="20" fontId="48" fillId="0" borderId="22" xfId="0" quotePrefix="1" applyNumberFormat="1" applyFont="1" applyBorder="1" applyAlignment="1">
      <alignment horizontal="right"/>
    </xf>
    <xf numFmtId="0" fontId="10" fillId="36" borderId="28" xfId="0" applyFont="1" applyFill="1" applyBorder="1" applyAlignment="1">
      <alignment vertical="center"/>
    </xf>
    <xf numFmtId="0" fontId="47" fillId="36" borderId="26" xfId="0" applyFont="1" applyFill="1" applyBorder="1" applyAlignment="1">
      <alignment vertical="center"/>
    </xf>
    <xf numFmtId="0" fontId="47" fillId="36" borderId="28" xfId="0" applyFont="1" applyFill="1" applyBorder="1" applyAlignment="1">
      <alignment vertical="center"/>
    </xf>
    <xf numFmtId="0" fontId="11" fillId="29" borderId="29" xfId="0" applyFont="1" applyFill="1" applyBorder="1"/>
    <xf numFmtId="0" fontId="10" fillId="29" borderId="12" xfId="0" applyFont="1" applyFill="1" applyBorder="1" applyAlignment="1">
      <alignment wrapText="1"/>
    </xf>
    <xf numFmtId="166" fontId="8" fillId="0" borderId="0" xfId="0" applyNumberFormat="1" applyFont="1"/>
    <xf numFmtId="166" fontId="8" fillId="0" borderId="0" xfId="63" applyNumberFormat="1"/>
    <xf numFmtId="166" fontId="8" fillId="0" borderId="16" xfId="0" applyNumberFormat="1" applyFont="1" applyBorder="1" applyAlignment="1">
      <alignment horizontal="right"/>
    </xf>
    <xf numFmtId="0" fontId="8" fillId="0" borderId="0" xfId="67"/>
    <xf numFmtId="0" fontId="59" fillId="27" borderId="0" xfId="67" applyFont="1" applyFill="1"/>
    <xf numFmtId="0" fontId="8" fillId="39" borderId="0" xfId="67" applyFill="1"/>
    <xf numFmtId="0" fontId="8" fillId="0" borderId="0" xfId="67" quotePrefix="1"/>
    <xf numFmtId="0" fontId="8" fillId="0" borderId="0" xfId="67" applyAlignment="1">
      <alignment wrapText="1"/>
    </xf>
    <xf numFmtId="0" fontId="8" fillId="0" borderId="0" xfId="67" applyAlignment="1">
      <alignment horizontal="center"/>
    </xf>
    <xf numFmtId="0" fontId="8" fillId="0" borderId="0" xfId="67" applyAlignment="1">
      <alignment horizontal="center" wrapText="1"/>
    </xf>
    <xf numFmtId="8" fontId="8" fillId="0" borderId="0" xfId="67" applyNumberFormat="1"/>
    <xf numFmtId="8" fontId="8" fillId="28" borderId="0" xfId="67" applyNumberFormat="1" applyFill="1"/>
    <xf numFmtId="8" fontId="0" fillId="33" borderId="23" xfId="0" applyNumberFormat="1" applyFill="1" applyBorder="1" applyAlignment="1">
      <alignment horizontal="center" vertical="center"/>
    </xf>
    <xf numFmtId="8" fontId="0" fillId="33" borderId="25" xfId="0" applyNumberFormat="1" applyFill="1" applyBorder="1" applyAlignment="1">
      <alignment horizontal="center" vertical="center"/>
    </xf>
    <xf numFmtId="0" fontId="39" fillId="0" borderId="10" xfId="0" applyFont="1" applyBorder="1"/>
    <xf numFmtId="0" fontId="11" fillId="0" borderId="18" xfId="0" applyFont="1" applyBorder="1"/>
    <xf numFmtId="0" fontId="0" fillId="34" borderId="0" xfId="0" applyFill="1"/>
    <xf numFmtId="0" fontId="0" fillId="0" borderId="0" xfId="0" applyAlignment="1">
      <alignment horizontal="center"/>
    </xf>
    <xf numFmtId="0" fontId="10" fillId="0" borderId="18" xfId="0" applyFont="1" applyBorder="1"/>
    <xf numFmtId="0" fontId="10" fillId="34" borderId="0" xfId="0" applyFont="1" applyFill="1"/>
    <xf numFmtId="0" fontId="10" fillId="0" borderId="10" xfId="0" applyFont="1" applyBorder="1"/>
    <xf numFmtId="0" fontId="10" fillId="0" borderId="12" xfId="0" applyFont="1" applyBorder="1" applyAlignment="1">
      <alignment wrapText="1"/>
    </xf>
    <xf numFmtId="0" fontId="10" fillId="0" borderId="12" xfId="0" applyFont="1" applyBorder="1" applyAlignment="1">
      <alignment horizontal="center" wrapText="1"/>
    </xf>
    <xf numFmtId="0" fontId="60" fillId="0" borderId="0" xfId="0" applyFont="1" applyAlignment="1">
      <alignment wrapText="1"/>
    </xf>
    <xf numFmtId="0" fontId="8" fillId="0" borderId="30" xfId="0" applyFont="1" applyBorder="1" applyAlignment="1">
      <alignment horizontal="center"/>
    </xf>
    <xf numFmtId="44" fontId="8" fillId="0" borderId="0" xfId="28" applyFont="1" applyBorder="1"/>
    <xf numFmtId="8" fontId="0" fillId="0" borderId="0" xfId="0" applyNumberFormat="1" applyAlignment="1">
      <alignment horizontal="center"/>
    </xf>
    <xf numFmtId="2" fontId="0" fillId="0" borderId="0" xfId="0" applyNumberFormat="1"/>
    <xf numFmtId="44" fontId="0" fillId="0" borderId="0" xfId="28" applyFont="1" applyBorder="1"/>
    <xf numFmtId="6" fontId="31" fillId="0" borderId="18" xfId="0" applyNumberFormat="1" applyFont="1" applyBorder="1" applyAlignment="1">
      <alignment horizontal="center"/>
    </xf>
    <xf numFmtId="6" fontId="31" fillId="34" borderId="0" xfId="0" applyNumberFormat="1" applyFont="1" applyFill="1"/>
    <xf numFmtId="8" fontId="8" fillId="34" borderId="0" xfId="0" applyNumberFormat="1" applyFont="1" applyFill="1"/>
    <xf numFmtId="8" fontId="0" fillId="34" borderId="0" xfId="0" applyNumberFormat="1" applyFill="1"/>
    <xf numFmtId="165" fontId="8" fillId="0" borderId="12" xfId="0" applyNumberFormat="1" applyFont="1" applyBorder="1" applyAlignment="1">
      <alignment horizontal="right"/>
    </xf>
    <xf numFmtId="165" fontId="8" fillId="0" borderId="20" xfId="0" applyNumberFormat="1" applyFont="1" applyBorder="1"/>
    <xf numFmtId="0" fontId="8" fillId="0" borderId="30" xfId="28" applyNumberFormat="1" applyFont="1" applyFill="1" applyBorder="1"/>
    <xf numFmtId="165" fontId="8" fillId="0" borderId="18" xfId="0" applyNumberFormat="1" applyFont="1" applyBorder="1"/>
    <xf numFmtId="0" fontId="8" fillId="0" borderId="13" xfId="28" applyNumberFormat="1" applyFont="1" applyFill="1" applyBorder="1"/>
    <xf numFmtId="0" fontId="8" fillId="0" borderId="17" xfId="28" applyNumberFormat="1" applyFont="1" applyFill="1" applyBorder="1"/>
    <xf numFmtId="165" fontId="8" fillId="0" borderId="10" xfId="0" applyNumberFormat="1" applyFont="1" applyBorder="1"/>
    <xf numFmtId="9" fontId="8" fillId="0" borderId="13" xfId="44" applyFont="1" applyFill="1" applyBorder="1"/>
    <xf numFmtId="9" fontId="8" fillId="0" borderId="11" xfId="44" applyFont="1" applyFill="1" applyBorder="1"/>
    <xf numFmtId="9" fontId="8" fillId="0" borderId="33" xfId="44" applyFont="1" applyFill="1" applyBorder="1"/>
    <xf numFmtId="165" fontId="8" fillId="0" borderId="30" xfId="0" applyNumberFormat="1" applyFont="1" applyBorder="1"/>
    <xf numFmtId="0" fontId="8" fillId="28" borderId="26" xfId="0" applyFont="1" applyFill="1" applyBorder="1" applyAlignment="1">
      <alignment horizontal="right"/>
    </xf>
    <xf numFmtId="0" fontId="8" fillId="28" borderId="28" xfId="0" applyFont="1" applyFill="1" applyBorder="1" applyAlignment="1">
      <alignment horizontal="right"/>
    </xf>
    <xf numFmtId="165" fontId="8" fillId="28" borderId="28" xfId="0" applyNumberFormat="1" applyFont="1" applyFill="1" applyBorder="1"/>
    <xf numFmtId="165" fontId="8" fillId="28" borderId="27" xfId="0" applyNumberFormat="1" applyFont="1" applyFill="1" applyBorder="1"/>
    <xf numFmtId="164" fontId="0" fillId="0" borderId="0" xfId="0" applyNumberFormat="1" applyAlignment="1">
      <alignment horizontal="center"/>
    </xf>
    <xf numFmtId="0" fontId="8" fillId="28" borderId="22" xfId="0" applyFont="1" applyFill="1" applyBorder="1" applyAlignment="1">
      <alignment horizontal="right"/>
    </xf>
    <xf numFmtId="0" fontId="8" fillId="28" borderId="0" xfId="0" applyFont="1" applyFill="1" applyAlignment="1">
      <alignment horizontal="right"/>
    </xf>
    <xf numFmtId="165" fontId="0" fillId="28" borderId="0" xfId="0" applyNumberFormat="1" applyFill="1"/>
    <xf numFmtId="165" fontId="0" fillId="28" borderId="23" xfId="0" applyNumberFormat="1" applyFill="1" applyBorder="1"/>
    <xf numFmtId="165" fontId="8" fillId="28" borderId="0" xfId="0" applyNumberFormat="1" applyFont="1" applyFill="1"/>
    <xf numFmtId="165" fontId="8" fillId="28" borderId="23" xfId="0" applyNumberFormat="1" applyFont="1" applyFill="1" applyBorder="1"/>
    <xf numFmtId="0" fontId="8" fillId="28" borderId="24" xfId="0" applyFont="1" applyFill="1" applyBorder="1" applyAlignment="1">
      <alignment horizontal="right"/>
    </xf>
    <xf numFmtId="0" fontId="8" fillId="28" borderId="29" xfId="0" applyFont="1" applyFill="1" applyBorder="1" applyAlignment="1">
      <alignment horizontal="right"/>
    </xf>
    <xf numFmtId="0" fontId="39" fillId="28" borderId="29" xfId="0" applyFont="1" applyFill="1" applyBorder="1"/>
    <xf numFmtId="0" fontId="8" fillId="28" borderId="25" xfId="0" applyFont="1" applyFill="1" applyBorder="1" applyAlignment="1">
      <alignment horizontal="right"/>
    </xf>
    <xf numFmtId="0" fontId="61" fillId="40" borderId="13" xfId="0" applyFont="1" applyFill="1" applyBorder="1" applyAlignment="1">
      <alignment horizontal="left" indent="1"/>
    </xf>
    <xf numFmtId="9" fontId="8" fillId="0" borderId="0" xfId="44"/>
    <xf numFmtId="44" fontId="8" fillId="41" borderId="0" xfId="63" applyNumberFormat="1" applyFill="1"/>
    <xf numFmtId="167" fontId="8" fillId="0" borderId="0" xfId="28" applyNumberFormat="1"/>
    <xf numFmtId="44" fontId="40" fillId="0" borderId="18" xfId="28" applyFont="1" applyBorder="1"/>
    <xf numFmtId="44" fontId="40" fillId="0" borderId="13" xfId="28" applyFont="1" applyBorder="1"/>
    <xf numFmtId="167" fontId="40" fillId="27" borderId="11" xfId="28" applyNumberFormat="1" applyFont="1" applyFill="1" applyBorder="1"/>
    <xf numFmtId="167" fontId="8" fillId="27" borderId="11" xfId="28" applyNumberFormat="1" applyFont="1" applyFill="1" applyBorder="1" applyAlignment="1">
      <alignment horizontal="right"/>
    </xf>
    <xf numFmtId="0" fontId="8" fillId="27" borderId="0" xfId="63" applyFill="1"/>
    <xf numFmtId="167" fontId="40" fillId="37" borderId="11" xfId="28" applyNumberFormat="1" applyFont="1" applyFill="1" applyBorder="1"/>
    <xf numFmtId="167" fontId="0" fillId="37" borderId="11" xfId="28" applyNumberFormat="1" applyFont="1" applyFill="1" applyBorder="1"/>
    <xf numFmtId="0" fontId="8" fillId="37" borderId="0" xfId="63" applyFill="1"/>
    <xf numFmtId="3" fontId="10" fillId="37" borderId="0" xfId="63" applyNumberFormat="1" applyFont="1" applyFill="1" applyAlignment="1">
      <alignment horizontal="center" vertical="center"/>
    </xf>
    <xf numFmtId="167" fontId="40" fillId="29" borderId="11" xfId="28" applyNumberFormat="1" applyFont="1" applyFill="1" applyBorder="1"/>
    <xf numFmtId="167" fontId="0" fillId="29" borderId="11" xfId="28" applyNumberFormat="1" applyFont="1" applyFill="1" applyBorder="1"/>
    <xf numFmtId="0" fontId="8" fillId="27" borderId="0" xfId="0" applyFont="1" applyFill="1"/>
    <xf numFmtId="0" fontId="0" fillId="27" borderId="0" xfId="0" applyFill="1"/>
    <xf numFmtId="0" fontId="40" fillId="0" borderId="19" xfId="0" applyFont="1" applyBorder="1"/>
    <xf numFmtId="0" fontId="0" fillId="41" borderId="0" xfId="0" applyFill="1"/>
    <xf numFmtId="170" fontId="0" fillId="0" borderId="0" xfId="0" applyNumberFormat="1" applyAlignment="1">
      <alignment horizontal="right"/>
    </xf>
    <xf numFmtId="0" fontId="32" fillId="27" borderId="0" xfId="0" applyFont="1" applyFill="1"/>
    <xf numFmtId="0" fontId="0" fillId="27" borderId="18" xfId="0" applyFill="1" applyBorder="1"/>
    <xf numFmtId="170" fontId="0" fillId="27" borderId="0" xfId="0" applyNumberFormat="1" applyFill="1" applyAlignment="1">
      <alignment horizontal="right"/>
    </xf>
    <xf numFmtId="0" fontId="0" fillId="41" borderId="0" xfId="0" applyFill="1" applyAlignment="1">
      <alignment horizontal="right"/>
    </xf>
    <xf numFmtId="10" fontId="2" fillId="0" borderId="0" xfId="44" applyNumberFormat="1" applyFont="1"/>
    <xf numFmtId="0" fontId="8" fillId="42" borderId="0" xfId="63" applyFill="1"/>
    <xf numFmtId="167" fontId="40" fillId="42" borderId="11" xfId="28" applyNumberFormat="1" applyFont="1" applyFill="1" applyBorder="1"/>
    <xf numFmtId="167" fontId="0" fillId="42" borderId="11" xfId="28" applyNumberFormat="1" applyFont="1" applyFill="1" applyBorder="1"/>
    <xf numFmtId="167" fontId="0" fillId="42" borderId="11" xfId="28" applyNumberFormat="1" applyFont="1" applyFill="1" applyBorder="1" applyAlignment="1">
      <alignment horizontal="right"/>
    </xf>
    <xf numFmtId="167" fontId="8" fillId="42" borderId="11" xfId="63" applyNumberFormat="1" applyFill="1" applyBorder="1"/>
    <xf numFmtId="9" fontId="0" fillId="0" borderId="0" xfId="0" applyNumberFormat="1"/>
    <xf numFmtId="44" fontId="8" fillId="0" borderId="0" xfId="28"/>
    <xf numFmtId="0" fontId="10" fillId="35" borderId="0" xfId="0" applyFont="1" applyFill="1" applyAlignment="1">
      <alignment horizontal="right"/>
    </xf>
    <xf numFmtId="0" fontId="0" fillId="35" borderId="24" xfId="0" applyFill="1" applyBorder="1"/>
    <xf numFmtId="167" fontId="8" fillId="29" borderId="0" xfId="28" applyNumberFormat="1" applyFont="1" applyFill="1" applyBorder="1" applyAlignment="1">
      <alignment horizontal="right"/>
    </xf>
    <xf numFmtId="0" fontId="0" fillId="0" borderId="0" xfId="0" applyAlignment="1">
      <alignment wrapText="1"/>
    </xf>
    <xf numFmtId="0" fontId="37" fillId="0" borderId="0" xfId="0" applyFont="1" applyAlignment="1">
      <alignment wrapText="1"/>
    </xf>
    <xf numFmtId="0" fontId="48" fillId="0" borderId="0" xfId="0" applyFont="1" applyAlignment="1">
      <alignment wrapText="1"/>
    </xf>
    <xf numFmtId="0" fontId="8" fillId="36" borderId="22" xfId="0" applyFont="1" applyFill="1" applyBorder="1" applyAlignment="1">
      <alignment horizontal="center"/>
    </xf>
    <xf numFmtId="0" fontId="8" fillId="0" borderId="33" xfId="0" applyFont="1" applyBorder="1" applyAlignment="1">
      <alignment horizontal="right"/>
    </xf>
    <xf numFmtId="167" fontId="0" fillId="36" borderId="0" xfId="0" applyNumberFormat="1" applyFill="1" applyAlignment="1">
      <alignment horizontal="center" vertical="center"/>
    </xf>
    <xf numFmtId="167" fontId="0" fillId="36" borderId="29" xfId="0" applyNumberFormat="1" applyFill="1" applyBorder="1" applyAlignment="1">
      <alignment horizontal="center" vertical="center"/>
    </xf>
    <xf numFmtId="0" fontId="48" fillId="29" borderId="0" xfId="0" applyFont="1" applyFill="1" applyAlignment="1">
      <alignment horizontal="left" vertical="center"/>
    </xf>
    <xf numFmtId="8" fontId="48" fillId="0" borderId="0" xfId="0" applyNumberFormat="1" applyFont="1"/>
    <xf numFmtId="165" fontId="48" fillId="0" borderId="0" xfId="0" applyNumberFormat="1" applyFont="1"/>
    <xf numFmtId="9" fontId="48" fillId="32" borderId="11" xfId="44" applyFont="1" applyFill="1" applyBorder="1" applyAlignment="1" applyProtection="1">
      <alignment horizontal="center"/>
      <protection locked="0"/>
    </xf>
    <xf numFmtId="0" fontId="48" fillId="32" borderId="14" xfId="0" applyFont="1" applyFill="1" applyBorder="1" applyProtection="1">
      <protection locked="0"/>
    </xf>
    <xf numFmtId="44" fontId="40" fillId="27" borderId="38" xfId="28" applyFont="1" applyFill="1" applyBorder="1" applyProtection="1">
      <protection locked="0"/>
    </xf>
    <xf numFmtId="44" fontId="0" fillId="27" borderId="38" xfId="28" applyFont="1" applyFill="1" applyBorder="1" applyProtection="1">
      <protection locked="0"/>
    </xf>
    <xf numFmtId="44" fontId="0" fillId="27" borderId="39" xfId="28" applyFont="1" applyFill="1" applyBorder="1" applyProtection="1">
      <protection locked="0"/>
    </xf>
    <xf numFmtId="0" fontId="0" fillId="27" borderId="11" xfId="0" applyFill="1" applyBorder="1" applyAlignment="1" applyProtection="1">
      <alignment horizontal="center" vertical="center"/>
      <protection locked="0"/>
    </xf>
    <xf numFmtId="9" fontId="0" fillId="27" borderId="11" xfId="0" applyNumberFormat="1" applyFill="1" applyBorder="1" applyAlignment="1" applyProtection="1">
      <alignment horizontal="right"/>
      <protection locked="0"/>
    </xf>
    <xf numFmtId="0" fontId="8" fillId="27" borderId="11" xfId="0" applyFont="1" applyFill="1" applyBorder="1" applyProtection="1">
      <protection locked="0"/>
    </xf>
    <xf numFmtId="44" fontId="8" fillId="27" borderId="11" xfId="0" applyNumberFormat="1" applyFont="1" applyFill="1" applyBorder="1" applyAlignment="1" applyProtection="1">
      <alignment horizontal="right" wrapText="1"/>
      <protection locked="0"/>
    </xf>
    <xf numFmtId="0" fontId="8" fillId="27" borderId="40" xfId="0" applyFont="1" applyFill="1" applyBorder="1" applyAlignment="1" applyProtection="1">
      <alignment horizontal="center"/>
      <protection locked="0"/>
    </xf>
    <xf numFmtId="9" fontId="40" fillId="27" borderId="11" xfId="0" applyNumberFormat="1" applyFont="1" applyFill="1" applyBorder="1" applyAlignment="1" applyProtection="1">
      <alignment horizontal="center" vertical="center"/>
      <protection locked="0"/>
    </xf>
    <xf numFmtId="0" fontId="10" fillId="36" borderId="28" xfId="0" applyFont="1" applyFill="1" applyBorder="1" applyAlignment="1">
      <alignment horizontal="center" vertical="center" wrapText="1"/>
    </xf>
    <xf numFmtId="0" fontId="10" fillId="36" borderId="27" xfId="0" applyFont="1" applyFill="1" applyBorder="1" applyAlignment="1">
      <alignment horizontal="center" vertical="center" wrapText="1"/>
    </xf>
    <xf numFmtId="0" fontId="45" fillId="0" borderId="20" xfId="0" applyFont="1" applyBorder="1" applyAlignment="1">
      <alignment horizontal="right" vertical="center"/>
    </xf>
    <xf numFmtId="0" fontId="45" fillId="0" borderId="21" xfId="0" applyFont="1" applyBorder="1" applyAlignment="1">
      <alignment horizontal="right" vertical="center"/>
    </xf>
    <xf numFmtId="0" fontId="11" fillId="0" borderId="20" xfId="0" applyFont="1" applyBorder="1" applyAlignment="1">
      <alignment horizontal="left" vertical="center"/>
    </xf>
    <xf numFmtId="0" fontId="11" fillId="0" borderId="30" xfId="0" applyFont="1" applyBorder="1" applyAlignment="1">
      <alignment horizontal="left" vertical="center"/>
    </xf>
    <xf numFmtId="9" fontId="40" fillId="29" borderId="0" xfId="44" applyFont="1" applyFill="1" applyBorder="1" applyAlignment="1">
      <alignment horizontal="left" wrapText="1"/>
    </xf>
    <xf numFmtId="0" fontId="48" fillId="32" borderId="11" xfId="0" applyFont="1" applyFill="1" applyBorder="1" applyAlignment="1" applyProtection="1">
      <alignment horizontal="center"/>
      <protection locked="0"/>
    </xf>
    <xf numFmtId="0" fontId="11" fillId="0" borderId="10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45" fillId="0" borderId="15" xfId="0" applyFont="1" applyBorder="1" applyAlignment="1">
      <alignment horizontal="right" vertical="center"/>
    </xf>
    <xf numFmtId="0" fontId="45" fillId="0" borderId="17" xfId="0" applyFont="1" applyBorder="1" applyAlignment="1">
      <alignment horizontal="right" vertical="center"/>
    </xf>
    <xf numFmtId="0" fontId="48" fillId="32" borderId="11" xfId="44" applyNumberFormat="1" applyFont="1" applyFill="1" applyBorder="1" applyAlignment="1" applyProtection="1">
      <alignment horizontal="center"/>
      <protection locked="0"/>
    </xf>
    <xf numFmtId="0" fontId="45" fillId="0" borderId="18" xfId="0" applyFont="1" applyBorder="1" applyAlignment="1">
      <alignment horizontal="right" vertical="center"/>
    </xf>
    <xf numFmtId="0" fontId="45" fillId="0" borderId="13" xfId="0" applyFont="1" applyBorder="1" applyAlignment="1">
      <alignment horizontal="right" vertical="center"/>
    </xf>
    <xf numFmtId="0" fontId="0" fillId="0" borderId="18" xfId="0" applyBorder="1" applyAlignment="1">
      <alignment horizontal="right"/>
    </xf>
    <xf numFmtId="0" fontId="0" fillId="0" borderId="13" xfId="0" applyBorder="1" applyAlignment="1">
      <alignment horizontal="right"/>
    </xf>
    <xf numFmtId="6" fontId="0" fillId="36" borderId="25" xfId="0" applyNumberFormat="1" applyFill="1" applyBorder="1" applyAlignment="1">
      <alignment horizontal="center" vertical="center"/>
    </xf>
    <xf numFmtId="6" fontId="0" fillId="37" borderId="0" xfId="0" applyNumberFormat="1" applyFill="1" applyAlignment="1">
      <alignment horizontal="center" vertical="center"/>
    </xf>
    <xf numFmtId="6" fontId="0" fillId="37" borderId="23" xfId="0" applyNumberFormat="1" applyFill="1" applyBorder="1" applyAlignment="1">
      <alignment horizontal="center" vertical="center"/>
    </xf>
    <xf numFmtId="0" fontId="10" fillId="37" borderId="28" xfId="0" applyFont="1" applyFill="1" applyBorder="1" applyAlignment="1">
      <alignment horizontal="center" vertical="center" wrapText="1"/>
    </xf>
    <xf numFmtId="0" fontId="10" fillId="37" borderId="27" xfId="0" applyFont="1" applyFill="1" applyBorder="1" applyAlignment="1">
      <alignment horizontal="center" vertical="center" wrapText="1"/>
    </xf>
    <xf numFmtId="6" fontId="0" fillId="36" borderId="23" xfId="0" applyNumberFormat="1" applyFill="1" applyBorder="1" applyAlignment="1">
      <alignment horizontal="center" vertical="center"/>
    </xf>
    <xf numFmtId="0" fontId="47" fillId="37" borderId="26" xfId="0" applyFont="1" applyFill="1" applyBorder="1" applyAlignment="1">
      <alignment horizontal="left" vertical="center"/>
    </xf>
    <xf numFmtId="0" fontId="47" fillId="37" borderId="28" xfId="0" applyFont="1" applyFill="1" applyBorder="1" applyAlignment="1">
      <alignment horizontal="left" vertical="center"/>
    </xf>
    <xf numFmtId="0" fontId="51" fillId="38" borderId="37" xfId="0" applyFont="1" applyFill="1" applyBorder="1" applyAlignment="1">
      <alignment horizontal="left" vertical="top" wrapText="1"/>
    </xf>
    <xf numFmtId="0" fontId="51" fillId="38" borderId="22" xfId="0" applyFont="1" applyFill="1" applyBorder="1" applyAlignment="1">
      <alignment horizontal="left" vertical="top" wrapText="1"/>
    </xf>
    <xf numFmtId="167" fontId="51" fillId="38" borderId="41" xfId="28" applyNumberFormat="1" applyFont="1" applyFill="1" applyBorder="1" applyAlignment="1">
      <alignment horizontal="left" vertical="center"/>
    </xf>
    <xf numFmtId="167" fontId="51" fillId="38" borderId="23" xfId="28" applyNumberFormat="1" applyFont="1" applyFill="1" applyBorder="1" applyAlignment="1">
      <alignment horizontal="left" vertical="center"/>
    </xf>
    <xf numFmtId="0" fontId="38" fillId="38" borderId="37" xfId="0" applyFont="1" applyFill="1" applyBorder="1" applyAlignment="1">
      <alignment horizontal="left" wrapText="1"/>
    </xf>
    <xf numFmtId="0" fontId="38" fillId="38" borderId="22" xfId="0" applyFont="1" applyFill="1" applyBorder="1" applyAlignment="1">
      <alignment horizontal="left" wrapText="1"/>
    </xf>
    <xf numFmtId="6" fontId="0" fillId="37" borderId="29" xfId="0" applyNumberFormat="1" applyFill="1" applyBorder="1" applyAlignment="1">
      <alignment horizontal="center" vertical="center"/>
    </xf>
    <xf numFmtId="6" fontId="0" fillId="37" borderId="25" xfId="0" applyNumberFormat="1" applyFill="1" applyBorder="1" applyAlignment="1">
      <alignment horizontal="center" vertical="center"/>
    </xf>
    <xf numFmtId="0" fontId="8" fillId="0" borderId="0" xfId="0" quotePrefix="1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16" xfId="63" applyFont="1" applyBorder="1" applyAlignment="1">
      <alignment horizontal="center" vertical="center"/>
    </xf>
  </cellXfs>
  <cellStyles count="7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7" xr:uid="{00000000-0005-0000-0000-00001B000000}"/>
    <cellStyle name="Comma 3" xfId="61" xr:uid="{00000000-0005-0000-0000-00001C000000}"/>
    <cellStyle name="Currency" xfId="28" builtinId="4"/>
    <cellStyle name="Currency 2" xfId="52" xr:uid="{00000000-0005-0000-0000-00001E000000}"/>
    <cellStyle name="Currency 2 2" xfId="56" xr:uid="{00000000-0005-0000-0000-00001F000000}"/>
    <cellStyle name="Currency 2 3" xfId="64" xr:uid="{54B92CF2-DC33-F549-A2EC-046BD2B2D406}"/>
    <cellStyle name="Currency 3" xfId="54" xr:uid="{00000000-0005-0000-0000-000020000000}"/>
    <cellStyle name="Currency 4" xfId="59" xr:uid="{00000000-0005-0000-0000-000021000000}"/>
    <cellStyle name="Currency 5" xfId="66" xr:uid="{77741308-79E3-DF4D-B987-554A22D72CB3}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45" xr:uid="{00000000-0005-0000-0000-00002D000000}"/>
    <cellStyle name="Normal 2 2" xfId="55" xr:uid="{00000000-0005-0000-0000-00002E000000}"/>
    <cellStyle name="Normal 2 3" xfId="63" xr:uid="{073E5740-0F4E-1143-952E-49B4E3561A97}"/>
    <cellStyle name="Normal 2 4" xfId="68" xr:uid="{10485521-C4A9-BC45-A15F-996D5CD2D8FE}"/>
    <cellStyle name="Normal 3" xfId="47" xr:uid="{00000000-0005-0000-0000-00002F000000}"/>
    <cellStyle name="Normal 3 2" xfId="67" xr:uid="{584964AF-28CB-324B-A1AA-4736EAAD57EC}"/>
    <cellStyle name="Normal 4" xfId="49" xr:uid="{00000000-0005-0000-0000-000030000000}"/>
    <cellStyle name="Normal 5" xfId="51" xr:uid="{00000000-0005-0000-0000-000031000000}"/>
    <cellStyle name="Normal 6" xfId="53" xr:uid="{00000000-0005-0000-0000-000032000000}"/>
    <cellStyle name="Normal 7" xfId="58" xr:uid="{00000000-0005-0000-0000-000033000000}"/>
    <cellStyle name="Normal 8" xfId="60" xr:uid="{00000000-0005-0000-0000-000034000000}"/>
    <cellStyle name="Normal 9" xfId="62" xr:uid="{134BEEEC-DE54-2148-8802-28946ED0A017}"/>
    <cellStyle name="Note" xfId="39" builtinId="10" customBuiltin="1"/>
    <cellStyle name="Output" xfId="40" builtinId="21" customBuiltin="1"/>
    <cellStyle name="Percent" xfId="44" builtinId="5"/>
    <cellStyle name="Percent 2" xfId="46" xr:uid="{00000000-0005-0000-0000-000039000000}"/>
    <cellStyle name="Percent 2 2" xfId="65" xr:uid="{08534AB9-3840-3F45-877E-12B738DBD5D2}"/>
    <cellStyle name="Percent 3" xfId="48" xr:uid="{00000000-0005-0000-0000-00003A000000}"/>
    <cellStyle name="Percent 4" xfId="50" xr:uid="{00000000-0005-0000-0000-00003B000000}"/>
    <cellStyle name="Percent 6" xfId="69" xr:uid="{683BD2AA-30D2-054B-B737-866F9D8C81D2}"/>
    <cellStyle name="Title" xfId="41" builtinId="15" customBuiltin="1"/>
    <cellStyle name="Total" xfId="42" builtinId="25" customBuiltin="1"/>
    <cellStyle name="Warning Text" xfId="43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  <color rgb="FF5F7530"/>
      <color rgb="FFFDE9D9"/>
      <color rgb="FFFF66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microsoft.com/office/2017/10/relationships/person" Target="persons/person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sheetMetadata" Target="metadata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'VariablesINPUT-CTR'!$M$75</c:f>
              <c:strCache>
                <c:ptCount val="1"/>
                <c:pt idx="0">
                  <c:v>Infants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'VariablesINPUT-CTR'!$N$74:$O$74</c:f>
              <c:strCache>
                <c:ptCount val="2"/>
                <c:pt idx="0">
                  <c:v>Gap - subsidy and cost</c:v>
                </c:pt>
                <c:pt idx="1">
                  <c:v>Gap - price and cost</c:v>
                </c:pt>
              </c:strCache>
            </c:strRef>
          </c:cat>
          <c:val>
            <c:numRef>
              <c:f>'VariablesINPUT-CTR'!$N$75:$O$75</c:f>
              <c:numCache>
                <c:formatCode>"$"#,##0</c:formatCode>
                <c:ptCount val="2"/>
                <c:pt idx="0">
                  <c:v>-950.53803948445261</c:v>
                </c:pt>
                <c:pt idx="1">
                  <c:v>-733.87137281778587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DE-3441-A168-4769F06AC00F}"/>
            </c:ext>
          </c:extLst>
        </c:ser>
        <c:ser>
          <c:idx val="1"/>
          <c:order val="1"/>
          <c:tx>
            <c:strRef>
              <c:f>'VariablesINPUT-CTR'!$M$76</c:f>
              <c:strCache>
                <c:ptCount val="1"/>
                <c:pt idx="0">
                  <c:v>Toddler 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'VariablesINPUT-CTR'!$N$74:$O$74</c:f>
              <c:strCache>
                <c:ptCount val="2"/>
                <c:pt idx="0">
                  <c:v>Gap - subsidy and cost</c:v>
                </c:pt>
                <c:pt idx="1">
                  <c:v>Gap - price and cost</c:v>
                </c:pt>
              </c:strCache>
            </c:strRef>
          </c:cat>
          <c:val>
            <c:numRef>
              <c:f>'VariablesINPUT-CTR'!$N$76:$O$76</c:f>
              <c:numCache>
                <c:formatCode>"$"#,##0</c:formatCode>
                <c:ptCount val="2"/>
                <c:pt idx="0">
                  <c:v>-550.93468087334168</c:v>
                </c:pt>
                <c:pt idx="1">
                  <c:v>-317.80134754000824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DE-3441-A168-4769F06AC00F}"/>
            </c:ext>
          </c:extLst>
        </c:ser>
        <c:ser>
          <c:idx val="3"/>
          <c:order val="2"/>
          <c:tx>
            <c:strRef>
              <c:f>'VariablesINPUT-CTR'!$M$77</c:f>
              <c:strCache>
                <c:ptCount val="1"/>
                <c:pt idx="0">
                  <c:v>3-year-old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'VariablesINPUT-CTR'!$N$74:$O$74</c:f>
              <c:strCache>
                <c:ptCount val="2"/>
                <c:pt idx="0">
                  <c:v>Gap - subsidy and cost</c:v>
                </c:pt>
                <c:pt idx="1">
                  <c:v>Gap - price and cost</c:v>
                </c:pt>
              </c:strCache>
            </c:strRef>
          </c:cat>
          <c:val>
            <c:numRef>
              <c:f>'VariablesINPUT-CTR'!$N$77:$O$77</c:f>
              <c:numCache>
                <c:formatCode>"$"#,##0</c:formatCode>
                <c:ptCount val="2"/>
                <c:pt idx="0">
                  <c:v>-261.5853273177861</c:v>
                </c:pt>
                <c:pt idx="1">
                  <c:v>-57.918660651119353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DE-3441-A168-4769F06AC00F}"/>
            </c:ext>
          </c:extLst>
        </c:ser>
        <c:ser>
          <c:idx val="4"/>
          <c:order val="3"/>
          <c:tx>
            <c:strRef>
              <c:f>'VariablesINPUT-CTR'!$M$78</c:f>
              <c:strCache>
                <c:ptCount val="1"/>
                <c:pt idx="0">
                  <c:v>4-year-old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'VariablesINPUT-CTR'!$N$74:$O$74</c:f>
              <c:strCache>
                <c:ptCount val="2"/>
                <c:pt idx="0">
                  <c:v>Gap - subsidy and cost</c:v>
                </c:pt>
                <c:pt idx="1">
                  <c:v>Gap - price and cost</c:v>
                </c:pt>
              </c:strCache>
            </c:strRef>
          </c:cat>
          <c:val>
            <c:numRef>
              <c:f>'VariablesINPUT-CTR'!$N$78:$O$78</c:f>
              <c:numCache>
                <c:formatCode>"$"#,##0</c:formatCode>
                <c:ptCount val="2"/>
                <c:pt idx="0">
                  <c:v>-151.33132226223051</c:v>
                </c:pt>
                <c:pt idx="1">
                  <c:v>52.335344404436228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2DE-3441-A168-4769F06AC00F}"/>
            </c:ext>
          </c:extLst>
        </c:ser>
        <c:ser>
          <c:idx val="5"/>
          <c:order val="4"/>
          <c:tx>
            <c:strRef>
              <c:f>'VariablesINPUT-CTR'!$M$79</c:f>
              <c:strCache>
                <c:ptCount val="1"/>
                <c:pt idx="0">
                  <c:v>School age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'VariablesINPUT-CTR'!$N$74:$O$74</c:f>
              <c:strCache>
                <c:ptCount val="2"/>
                <c:pt idx="0">
                  <c:v>Gap - subsidy and cost</c:v>
                </c:pt>
                <c:pt idx="1">
                  <c:v>Gap - price and cost</c:v>
                </c:pt>
              </c:strCache>
            </c:strRef>
          </c:cat>
          <c:val>
            <c:numRef>
              <c:f>'VariablesINPUT-CTR'!$N$79:$O$79</c:f>
              <c:numCache>
                <c:formatCode>"$"#,##0</c:formatCode>
                <c:ptCount val="2"/>
                <c:pt idx="0">
                  <c:v>105.20876568738765</c:v>
                </c:pt>
                <c:pt idx="1">
                  <c:v>17.458765687387654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DE-3441-A168-4769F06AC00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01251040"/>
        <c:axId val="1318875552"/>
      </c:barChart>
      <c:catAx>
        <c:axId val="13012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8875552"/>
        <c:crosses val="autoZero"/>
        <c:auto val="1"/>
        <c:lblAlgn val="ctr"/>
        <c:lblOffset val="100"/>
        <c:noMultiLvlLbl val="0"/>
      </c:catAx>
      <c:valAx>
        <c:axId val="131887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125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298737</xdr:colOff>
      <xdr:row>0</xdr:row>
      <xdr:rowOff>194232</xdr:rowOff>
    </xdr:from>
    <xdr:to>
      <xdr:col>10</xdr:col>
      <xdr:colOff>261887</xdr:colOff>
      <xdr:row>7</xdr:row>
      <xdr:rowOff>167722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38378A-E5C2-6240-BB0C-FF102FE6E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5192" y="194232"/>
          <a:ext cx="1059968" cy="1255035"/>
        </a:xfrm>
        <a:prstGeom prst="rect">
          <a:avLst/>
        </a:prstGeom>
      </xdr:spPr>
    </xdr:pic>
    <xdr:clientData/>
  </xdr:twoCellAnchor>
  <xdr:twoCellAnchor>
    <xdr:from>
      <xdr:col>4</xdr:col>
      <xdr:colOff>190837</xdr:colOff>
      <xdr:row>88</xdr:row>
      <xdr:rowOff>181043</xdr:rowOff>
    </xdr:from>
    <xdr:to>
      <xdr:col>8</xdr:col>
      <xdr:colOff>989878</xdr:colOff>
      <xdr:row>101</xdr:row>
      <xdr:rowOff>123892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4D629EA-694A-D04B-BE43-98C73974F0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2061</xdr:colOff>
      <xdr:row>30</xdr:row>
      <xdr:rowOff>64725</xdr:rowOff>
    </xdr:from>
    <xdr:to>
      <xdr:col>9</xdr:col>
      <xdr:colOff>813712</xdr:colOff>
      <xdr:row>36</xdr:row>
      <xdr:rowOff>15209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70A2650-549D-9E31-16CC-667962F45BE6}"/>
            </a:ext>
          </a:extLst>
        </xdr:cNvPr>
        <xdr:cNvSpPr txBox="1"/>
      </xdr:nvSpPr>
      <xdr:spPr>
        <a:xfrm>
          <a:off x="8207630" y="5661851"/>
          <a:ext cx="3260393" cy="122808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 b="1" i="1"/>
            <a:t>State-funded</a:t>
          </a:r>
          <a:r>
            <a:rPr lang="en-US" sz="900" b="1" i="1" baseline="0"/>
            <a:t> ECE selections:</a:t>
          </a:r>
        </a:p>
        <a:p>
          <a:r>
            <a:rPr lang="en-US" sz="900" i="1" baseline="0"/>
            <a:t>Family engagement: </a:t>
          </a:r>
          <a:r>
            <a:rPr lang="en-US" sz="900" baseline="0"/>
            <a:t>4 conferences/year + Family eng specialist </a:t>
          </a:r>
        </a:p>
        <a:p>
          <a:r>
            <a:rPr lang="en-US" sz="900" i="1" baseline="0"/>
            <a:t>PD Supports: </a:t>
          </a:r>
          <a:r>
            <a:rPr lang="en-US" sz="900" baseline="0"/>
            <a:t>40 hours PD, release time, coaching</a:t>
          </a:r>
        </a:p>
        <a:p>
          <a:r>
            <a:rPr lang="en-US" sz="900" i="1" baseline="0"/>
            <a:t>Curriculum Impl Supports: </a:t>
          </a:r>
          <a:r>
            <a:rPr lang="en-US" sz="900" baseline="0"/>
            <a:t>5 hours/week </a:t>
          </a:r>
        </a:p>
        <a:p>
          <a:r>
            <a:rPr lang="en-US" sz="900" i="1" baseline="0"/>
            <a:t>Ed Materials: </a:t>
          </a:r>
          <a:r>
            <a:rPr lang="en-US" sz="900" baseline="0"/>
            <a:t>Additional $100/child/month</a:t>
          </a:r>
        </a:p>
        <a:p>
          <a:r>
            <a:rPr lang="en-US" sz="900" i="1" baseline="0"/>
            <a:t>Comp. Health and Dev: </a:t>
          </a:r>
          <a:r>
            <a:rPr lang="en-US" sz="900" baseline="0"/>
            <a:t>16 hours/month health consultant</a:t>
          </a:r>
        </a:p>
        <a:p>
          <a:r>
            <a:rPr lang="en-US" sz="900" i="1" baseline="0"/>
            <a:t>Inclusion Materials: </a:t>
          </a:r>
          <a:r>
            <a:rPr lang="en-US" sz="900" baseline="0"/>
            <a:t>$250/year inclusion materials</a:t>
          </a:r>
        </a:p>
        <a:p>
          <a:r>
            <a:rPr lang="en-US" sz="900" i="1" baseline="0"/>
            <a:t>Inclusion Support Aide: </a:t>
          </a:r>
          <a:r>
            <a:rPr lang="en-US" sz="900" baseline="0"/>
            <a:t>10% of enrollment</a:t>
          </a:r>
          <a:endParaRPr lang="en-US" sz="9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9cb6bf57e6c3811/Oregon/2019-2020%20cost%20model%20project/Oregon%20Child%20Care%20Center%20Revenue%20and%20Expense%20Mod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hared%20Documents/Delaware/2022%20work/Delaware%20Family%20Child%20Care%20Home%20Home%20Mode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enterforamericanprogress-my.sharepoint.com/personal/sworkman_americanprogress_org/Documents/Oregon%20COVID%20cost%20mode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enterforamericanprogress-my.sharepoint.com/C:/Users/Owner/Desktop/SF_Center_RE_Model_2016%20sampl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enterforamericanprogress-my.sharepoint.com/Users/sworkman/OneDrive%20-%20Center%20For%20American%20Progress/Copy%20of%20SF_RE_Model_Centerbased_2018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9cb6bf57e6c3811/Washington%20Fiscal/final%20docs/WA%20CB%20RE%20Model_ICF%20July%202020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9cb6bf57e6c3811/Tarrant/Tarrant%20County%20CC%20cost%20model%2020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enterforamericanprogress-my.sharepoint.com/Users/sworkman/OneDrive%20-%20Center%20For%20American%20Progress/North%20Carolina%20PCI/NC-Center%20based%20model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p5fiscal.sharepoint.com/Shared%20Documents/St.%20Louis/STL_Child%20Care%20cost%20model%20.xlsx" TargetMode="External"/><Relationship Id="rId1" Type="http://schemas.openxmlformats.org/officeDocument/2006/relationships/externalLinkPath" Target="/Shared%20Documents/St.%20Louis/STL_Child%20Care%20cost%20model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CTR"/>
      <sheetName val="Quality Center Profile"/>
      <sheetName val="QualVar"/>
      <sheetName val="Ratios"/>
      <sheetName val="Wages"/>
      <sheetName val="Nonpersonnel PCQC"/>
      <sheetName val="Subsidy Rates"/>
      <sheetName val="Tuition Rates"/>
      <sheetName val="Fed CACFP"/>
      <sheetName val="Promise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FCC"/>
      <sheetName val="Quality Home Profile"/>
      <sheetName val="License-Exempt profile"/>
      <sheetName val="QualVar"/>
      <sheetName val="Nonpersonnel PCQC"/>
      <sheetName val="Wages"/>
      <sheetName val="Subsidy Rates"/>
      <sheetName val="Tuition Rates"/>
      <sheetName val="Fed CACF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CTR"/>
      <sheetName val="Quality Center Profile"/>
      <sheetName val="VariablesINPUT-FCC"/>
      <sheetName val="QualityHomeProfile"/>
      <sheetName val="System costs"/>
      <sheetName val="Ratios"/>
      <sheetName val="Wages"/>
      <sheetName val="Nonpersonnel PCQC"/>
    </sheetNames>
    <sheetDataSet>
      <sheetData sheetId="0"/>
      <sheetData sheetId="1">
        <row r="9">
          <cell r="F9">
            <v>2</v>
          </cell>
        </row>
        <row r="39">
          <cell r="C39">
            <v>5380</v>
          </cell>
        </row>
        <row r="40">
          <cell r="D40">
            <v>718686.46710000001</v>
          </cell>
        </row>
      </sheetData>
      <sheetData sheetId="2">
        <row r="2">
          <cell r="F2" t="str">
            <v>Metro</v>
          </cell>
        </row>
        <row r="16">
          <cell r="D16" t="str">
            <v>BLS</v>
          </cell>
        </row>
        <row r="20">
          <cell r="D20" t="str">
            <v>Yes</v>
          </cell>
        </row>
        <row r="21">
          <cell r="D21">
            <v>10</v>
          </cell>
        </row>
        <row r="22">
          <cell r="D22">
            <v>10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CTR"/>
      <sheetName val="Quality Center Profile"/>
      <sheetName val="Child Finance Charts"/>
      <sheetName val="Wages BLS"/>
      <sheetName val="Nonpersonnel Aggregated"/>
      <sheetName val="Nonpersonnel from interviews"/>
      <sheetName val="Tuition Rates&amp;SMI"/>
      <sheetName val="FCS"/>
      <sheetName val="State Vouchers"/>
      <sheetName val="State Contracts"/>
      <sheetName val="Fed CACFP"/>
      <sheetName val="Fed EHS HS"/>
      <sheetName val="FamilyIncome&amp;HomePrices"/>
      <sheetName val="ECERS Cost by Level"/>
    </sheetNames>
    <sheetDataSet>
      <sheetData sheetId="0">
        <row r="6">
          <cell r="D6" t="str">
            <v>infants (0-24 mos.)</v>
          </cell>
        </row>
        <row r="26">
          <cell r="C26">
            <v>2</v>
          </cell>
          <cell r="D26">
            <v>7</v>
          </cell>
          <cell r="F26">
            <v>0</v>
          </cell>
        </row>
        <row r="27">
          <cell r="C27">
            <v>2</v>
          </cell>
          <cell r="D27">
            <v>6</v>
          </cell>
          <cell r="F27">
            <v>1</v>
          </cell>
        </row>
        <row r="28">
          <cell r="C28">
            <v>7</v>
          </cell>
          <cell r="D28">
            <v>11</v>
          </cell>
          <cell r="F28">
            <v>5</v>
          </cell>
        </row>
        <row r="29">
          <cell r="C29">
            <v>5</v>
          </cell>
          <cell r="D29">
            <v>8</v>
          </cell>
          <cell r="F29">
            <v>11</v>
          </cell>
        </row>
      </sheetData>
      <sheetData sheetId="1"/>
      <sheetData sheetId="2"/>
      <sheetData sheetId="3">
        <row r="19">
          <cell r="C19">
            <v>13</v>
          </cell>
        </row>
      </sheetData>
      <sheetData sheetId="4">
        <row r="21">
          <cell r="B21">
            <v>1535.0875411152008</v>
          </cell>
        </row>
        <row r="23">
          <cell r="B23">
            <v>2535.2442193985435</v>
          </cell>
        </row>
      </sheetData>
      <sheetData sheetId="5"/>
      <sheetData sheetId="6">
        <row r="4">
          <cell r="C4">
            <v>1900</v>
          </cell>
        </row>
      </sheetData>
      <sheetData sheetId="7"/>
      <sheetData sheetId="8">
        <row r="4">
          <cell r="B4">
            <v>1662.14</v>
          </cell>
        </row>
      </sheetData>
      <sheetData sheetId="9">
        <row r="7">
          <cell r="C7">
            <v>1444.6458333333333</v>
          </cell>
        </row>
      </sheetData>
      <sheetData sheetId="10">
        <row r="6">
          <cell r="J6">
            <v>3.5999999999999996</v>
          </cell>
        </row>
      </sheetData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lity Center Profile"/>
      <sheetName val="VariablesINPUT-CTR"/>
      <sheetName val="Child Finance Charts"/>
      <sheetName val="Wages BLS"/>
      <sheetName val="Nonpersonnel Aggregated"/>
      <sheetName val="Nonpersonnel from interviews"/>
      <sheetName val="Tuition Rates&amp;SMI"/>
      <sheetName val="C- Wages"/>
      <sheetName val="PFA"/>
      <sheetName val="City Child Care"/>
      <sheetName val="ACCESS"/>
      <sheetName val="FCS"/>
      <sheetName val="State Vouchers"/>
      <sheetName val="State Contracts"/>
      <sheetName val="Fed CACFP"/>
      <sheetName val="Fed EHS HS"/>
      <sheetName val="Revenue-NOT USED"/>
      <sheetName val="FamilyIncome&amp;HomePrices"/>
      <sheetName val="ECERS Cost by Level"/>
      <sheetName val="Apdx C - Center Baseline"/>
    </sheetNames>
    <sheetDataSet>
      <sheetData sheetId="0" refreshError="1"/>
      <sheetData sheetId="1" refreshError="1">
        <row r="26">
          <cell r="C26">
            <v>2</v>
          </cell>
          <cell r="E26">
            <v>0</v>
          </cell>
        </row>
        <row r="27">
          <cell r="E27">
            <v>3</v>
          </cell>
        </row>
        <row r="28">
          <cell r="E28">
            <v>1</v>
          </cell>
        </row>
      </sheetData>
      <sheetData sheetId="2">
        <row r="3">
          <cell r="C3" t="str">
            <v>infant</v>
          </cell>
        </row>
      </sheetData>
      <sheetData sheetId="3" refreshError="1"/>
      <sheetData sheetId="4">
        <row r="21">
          <cell r="B21">
            <v>1535.0875411152008</v>
          </cell>
        </row>
      </sheetData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CTR"/>
      <sheetName val="ob"/>
      <sheetName val="Center Output"/>
      <sheetName val="co bas"/>
      <sheetName val="co qua"/>
      <sheetName val="co asp"/>
      <sheetName val="Baseline"/>
      <sheetName val="Quality"/>
      <sheetName val="Aspirational"/>
      <sheetName val="Analysis no SA"/>
      <sheetName val="Analysis with SA"/>
      <sheetName val="Wages Input"/>
      <sheetName val="Wages Data"/>
      <sheetName val="Wages BLS"/>
      <sheetName val="Aggregated Data"/>
      <sheetName val="State Subsidy"/>
      <sheetName val="Tuition"/>
      <sheetName val="ECEAP"/>
      <sheetName val="Fed CACF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B29">
            <v>28146.352499999997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CTR"/>
      <sheetName val="Quality Center Profile"/>
      <sheetName val="VariablesINPUT-FCC"/>
      <sheetName val="QualityHomeProfile"/>
      <sheetName val="Ratios"/>
      <sheetName val="Wages"/>
      <sheetName val="Nonpersonnel"/>
      <sheetName val="Subsidy rates"/>
      <sheetName val="Tuition Rates"/>
      <sheetName val="Fed CACF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INPUT-CTR"/>
      <sheetName val="Quality Center Profile"/>
      <sheetName val="Ratios"/>
      <sheetName val="Wages"/>
      <sheetName val="Wages BLS"/>
      <sheetName val="Nonpersonnel Aggregated"/>
      <sheetName val="Nonpersonnel disaggregated"/>
      <sheetName val="Tuition Rates"/>
      <sheetName val="Subsidy rates"/>
      <sheetName val="PreK"/>
      <sheetName val="Fed CACFP"/>
      <sheetName val="County Subsidy rates"/>
    </sheetNames>
    <sheetDataSet>
      <sheetData sheetId="0" refreshError="1"/>
      <sheetData sheetId="1" refreshError="1">
        <row r="7">
          <cell r="A7">
            <v>10</v>
          </cell>
        </row>
        <row r="9">
          <cell r="A9">
            <v>18</v>
          </cell>
          <cell r="F9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fZUJzotpdEyaHGAASury7a9a4hB3cqNHrG-L8Iez0hU_5gLbesWUQKwngbuWcozk" itemId="01IUWUC2LHW6O27GFSQ5AJLLXNI7IN3Q3Z">
      <xxl21:absoluteUrl r:id="rId2"/>
    </xxl21:alternateUrls>
    <sheetNames>
      <sheetName val="Results"/>
      <sheetName val="VariablesINPUT-CTR"/>
      <sheetName val="Quality Center Profile"/>
      <sheetName val="VariablesINPUT-FCC"/>
      <sheetName val="Quality Home Profile"/>
      <sheetName val="Wages"/>
      <sheetName val="Nonpersonnel PCQC"/>
      <sheetName val="QualVar"/>
      <sheetName val="Ratios"/>
      <sheetName val="Cost of living"/>
      <sheetName val="State List"/>
      <sheetName val="State Subsidy"/>
      <sheetName val="Tuition"/>
      <sheetName val="Fed CACFP"/>
      <sheetName val="Sheet1"/>
    </sheetNames>
    <sheetDataSet>
      <sheetData sheetId="0"/>
      <sheetData sheetId="1"/>
      <sheetData sheetId="2"/>
      <sheetData sheetId="3">
        <row r="6">
          <cell r="C6" t="str">
            <v>Missouri</v>
          </cell>
        </row>
        <row r="17">
          <cell r="C17">
            <v>10</v>
          </cell>
        </row>
      </sheetData>
      <sheetData sheetId="4"/>
      <sheetData sheetId="5"/>
      <sheetData sheetId="6">
        <row r="5">
          <cell r="H5" t="str">
            <v>Advertising</v>
          </cell>
        </row>
        <row r="8">
          <cell r="H8" t="str">
            <v>insurance</v>
          </cell>
        </row>
        <row r="14">
          <cell r="H14" t="str">
            <v>Food</v>
          </cell>
        </row>
        <row r="15">
          <cell r="H15" t="str">
            <v>Telephone</v>
          </cell>
        </row>
        <row r="18">
          <cell r="H18" t="str">
            <v>License/permits</v>
          </cell>
        </row>
        <row r="21">
          <cell r="H21" t="str">
            <v>Professional services</v>
          </cell>
        </row>
        <row r="24">
          <cell r="H24" t="str">
            <v>Mortgage/Rent</v>
          </cell>
        </row>
        <row r="25">
          <cell r="H25" t="str">
            <v>Home insurance</v>
          </cell>
        </row>
        <row r="26">
          <cell r="H26" t="str">
            <v>Repairs/Maintenance</v>
          </cell>
        </row>
        <row r="27">
          <cell r="H27" t="str">
            <v>Utilities</v>
          </cell>
        </row>
        <row r="28">
          <cell r="H28" t="str">
            <v>Household supplies</v>
          </cell>
        </row>
      </sheetData>
      <sheetData sheetId="7"/>
      <sheetData sheetId="8"/>
      <sheetData sheetId="9">
        <row r="2">
          <cell r="C2">
            <v>0.87760000000000005</v>
          </cell>
        </row>
        <row r="3">
          <cell r="C3">
            <v>1.01989</v>
          </cell>
        </row>
        <row r="4">
          <cell r="C4">
            <v>0.99897000000000002</v>
          </cell>
        </row>
        <row r="5">
          <cell r="C5">
            <v>0.86596999999999991</v>
          </cell>
        </row>
        <row r="6">
          <cell r="C6">
            <v>1.1247</v>
          </cell>
        </row>
        <row r="7">
          <cell r="C7">
            <v>1.0229300000000001</v>
          </cell>
        </row>
        <row r="8">
          <cell r="C8">
            <v>1.06412</v>
          </cell>
        </row>
        <row r="9">
          <cell r="C9">
            <v>0.97956999999999994</v>
          </cell>
        </row>
        <row r="10">
          <cell r="C10">
            <v>1.1284699999999999</v>
          </cell>
        </row>
        <row r="11">
          <cell r="C11">
            <v>1.0214400000000001</v>
          </cell>
        </row>
        <row r="12">
          <cell r="C12">
            <v>0.95831999999999995</v>
          </cell>
        </row>
        <row r="13">
          <cell r="C13">
            <v>1.10839</v>
          </cell>
        </row>
        <row r="14">
          <cell r="C14">
            <v>0.91827000000000003</v>
          </cell>
        </row>
        <row r="15">
          <cell r="C15">
            <v>1.01257</v>
          </cell>
        </row>
        <row r="16">
          <cell r="C16">
            <v>0.91816999999999993</v>
          </cell>
        </row>
        <row r="17">
          <cell r="C17">
            <v>0.88422000000000001</v>
          </cell>
        </row>
        <row r="18">
          <cell r="C18">
            <v>0.89961000000000002</v>
          </cell>
        </row>
        <row r="19">
          <cell r="C19">
            <v>0.89355999999999991</v>
          </cell>
        </row>
        <row r="20">
          <cell r="C20">
            <v>0.90569</v>
          </cell>
        </row>
        <row r="21">
          <cell r="C21">
            <v>1.0083899999999999</v>
          </cell>
        </row>
        <row r="23">
          <cell r="C23">
            <v>1.0939300000000001</v>
          </cell>
        </row>
        <row r="24">
          <cell r="C24">
            <v>0.93428</v>
          </cell>
        </row>
        <row r="25">
          <cell r="C25">
            <v>0.97721999999999998</v>
          </cell>
        </row>
        <row r="26">
          <cell r="C26">
            <v>0.87328000000000006</v>
          </cell>
        </row>
        <row r="27">
          <cell r="C27">
            <v>0.91118999999999994</v>
          </cell>
        </row>
        <row r="28">
          <cell r="C28">
            <v>0.90266000000000002</v>
          </cell>
        </row>
        <row r="29">
          <cell r="C29">
            <v>0.89805999999999997</v>
          </cell>
        </row>
        <row r="30">
          <cell r="C30">
            <v>0.96382999999999996</v>
          </cell>
        </row>
        <row r="31">
          <cell r="C31">
            <v>1.0764400000000001</v>
          </cell>
        </row>
        <row r="32">
          <cell r="C32">
            <v>1.0875700000000001</v>
          </cell>
        </row>
        <row r="33">
          <cell r="C33">
            <v>0.9098099999999999</v>
          </cell>
        </row>
        <row r="34">
          <cell r="C34">
            <v>1.07599</v>
          </cell>
        </row>
        <row r="35">
          <cell r="C35">
            <v>0.94203999999999999</v>
          </cell>
        </row>
        <row r="36">
          <cell r="C36">
            <v>0.88656000000000001</v>
          </cell>
        </row>
        <row r="37">
          <cell r="C37">
            <v>0.91449999999999998</v>
          </cell>
        </row>
        <row r="38">
          <cell r="C38">
            <v>0.88771</v>
          </cell>
        </row>
        <row r="39">
          <cell r="C39">
            <v>1.06565</v>
          </cell>
        </row>
        <row r="40">
          <cell r="C40">
            <v>0.96218000000000004</v>
          </cell>
        </row>
        <row r="41">
          <cell r="C41">
            <v>1.0469999999999999</v>
          </cell>
        </row>
        <row r="42">
          <cell r="C42">
            <v>0.93551000000000006</v>
          </cell>
        </row>
        <row r="43">
          <cell r="C43">
            <v>0.87990999999999997</v>
          </cell>
        </row>
        <row r="44">
          <cell r="C44">
            <v>0.91796999999999995</v>
          </cell>
        </row>
        <row r="45">
          <cell r="C45">
            <v>0.97511999999999999</v>
          </cell>
        </row>
        <row r="46">
          <cell r="C46">
            <v>0.94471000000000005</v>
          </cell>
        </row>
        <row r="47">
          <cell r="C47">
            <v>1.0109600000000001</v>
          </cell>
        </row>
        <row r="48">
          <cell r="C48">
            <v>1.0213700000000001</v>
          </cell>
        </row>
        <row r="49">
          <cell r="C49">
            <v>1.09849</v>
          </cell>
        </row>
        <row r="50">
          <cell r="C50">
            <v>0.89245000000000008</v>
          </cell>
        </row>
        <row r="51">
          <cell r="C51">
            <v>0.92310000000000003</v>
          </cell>
        </row>
        <row r="52">
          <cell r="C52">
            <v>0.91903000000000001</v>
          </cell>
        </row>
        <row r="53">
          <cell r="C53">
            <v>1</v>
          </cell>
        </row>
      </sheetData>
      <sheetData sheetId="10">
        <row r="1">
          <cell r="A1" t="str">
            <v>Alabama</v>
          </cell>
        </row>
        <row r="2">
          <cell r="A2" t="str">
            <v>Alaska</v>
          </cell>
        </row>
        <row r="3">
          <cell r="A3" t="str">
            <v>Arizona</v>
          </cell>
        </row>
        <row r="4">
          <cell r="A4" t="str">
            <v>Arkansas</v>
          </cell>
        </row>
        <row r="5">
          <cell r="A5" t="str">
            <v>California</v>
          </cell>
        </row>
        <row r="6">
          <cell r="A6" t="str">
            <v>Colorado</v>
          </cell>
        </row>
        <row r="7">
          <cell r="A7" t="str">
            <v>Connecticut</v>
          </cell>
        </row>
        <row r="8">
          <cell r="A8" t="str">
            <v>Delaware</v>
          </cell>
        </row>
        <row r="9">
          <cell r="A9" t="str">
            <v>District of Columbia</v>
          </cell>
        </row>
        <row r="10">
          <cell r="A10" t="str">
            <v>Florida</v>
          </cell>
        </row>
        <row r="11">
          <cell r="A11" t="str">
            <v>Georgia</v>
          </cell>
        </row>
        <row r="12">
          <cell r="A12" t="str">
            <v>Hawaii</v>
          </cell>
        </row>
        <row r="13">
          <cell r="A13" t="str">
            <v>Idaho</v>
          </cell>
        </row>
        <row r="14">
          <cell r="A14" t="str">
            <v>Illinois</v>
          </cell>
        </row>
        <row r="15">
          <cell r="A15" t="str">
            <v>Indiana</v>
          </cell>
        </row>
        <row r="16">
          <cell r="A16" t="str">
            <v>Iowa</v>
          </cell>
        </row>
        <row r="17">
          <cell r="A17" t="str">
            <v>Kansas</v>
          </cell>
        </row>
        <row r="18">
          <cell r="A18" t="str">
            <v>Kentucky</v>
          </cell>
        </row>
        <row r="19">
          <cell r="A19" t="str">
            <v>Louisiana</v>
          </cell>
        </row>
        <row r="20">
          <cell r="A20" t="str">
            <v>Maine</v>
          </cell>
        </row>
        <row r="21">
          <cell r="A21" t="str">
            <v>Maryland</v>
          </cell>
        </row>
        <row r="22">
          <cell r="A22" t="str">
            <v>Massachusetts</v>
          </cell>
        </row>
        <row r="23">
          <cell r="A23" t="str">
            <v>Michigan</v>
          </cell>
        </row>
        <row r="24">
          <cell r="A24" t="str">
            <v>Minnesota</v>
          </cell>
        </row>
        <row r="25">
          <cell r="A25" t="str">
            <v>Mississippi</v>
          </cell>
        </row>
        <row r="26">
          <cell r="A26" t="str">
            <v>Missouri</v>
          </cell>
        </row>
        <row r="27">
          <cell r="A27" t="str">
            <v>Montana</v>
          </cell>
        </row>
        <row r="28">
          <cell r="A28" t="str">
            <v>Nebraska</v>
          </cell>
        </row>
        <row r="29">
          <cell r="A29" t="str">
            <v>Nevada</v>
          </cell>
        </row>
        <row r="30">
          <cell r="A30" t="str">
            <v>New Hampshire</v>
          </cell>
        </row>
        <row r="31">
          <cell r="A31" t="str">
            <v>New Jersey</v>
          </cell>
        </row>
        <row r="32">
          <cell r="A32" t="str">
            <v>New Mexico</v>
          </cell>
        </row>
        <row r="33">
          <cell r="A33" t="str">
            <v>New York</v>
          </cell>
        </row>
        <row r="34">
          <cell r="A34" t="str">
            <v>North Carolina</v>
          </cell>
        </row>
        <row r="35">
          <cell r="A35" t="str">
            <v>North Dakota</v>
          </cell>
        </row>
        <row r="36">
          <cell r="A36" t="str">
            <v>Ohio</v>
          </cell>
        </row>
        <row r="37">
          <cell r="A37" t="str">
            <v>Oklahoma</v>
          </cell>
        </row>
        <row r="38">
          <cell r="A38" t="str">
            <v>Oregon</v>
          </cell>
        </row>
        <row r="39">
          <cell r="A39" t="str">
            <v>Pennsylvania</v>
          </cell>
        </row>
        <row r="40">
          <cell r="A40" t="str">
            <v>Rhode Island</v>
          </cell>
        </row>
        <row r="41">
          <cell r="A41" t="str">
            <v>South Carolina</v>
          </cell>
        </row>
        <row r="42">
          <cell r="A42" t="str">
            <v>South Dakota</v>
          </cell>
        </row>
        <row r="43">
          <cell r="A43" t="str">
            <v>Tennessee</v>
          </cell>
        </row>
        <row r="44">
          <cell r="A44" t="str">
            <v>Texas</v>
          </cell>
        </row>
        <row r="45">
          <cell r="A45" t="str">
            <v>Utah</v>
          </cell>
        </row>
        <row r="46">
          <cell r="A46" t="str">
            <v>Vermont</v>
          </cell>
        </row>
        <row r="47">
          <cell r="A47" t="str">
            <v>Virginia</v>
          </cell>
        </row>
        <row r="48">
          <cell r="A48" t="str">
            <v>Washington</v>
          </cell>
        </row>
        <row r="49">
          <cell r="A49" t="str">
            <v>West Virginia</v>
          </cell>
        </row>
        <row r="50">
          <cell r="A50" t="str">
            <v>Wisconsin</v>
          </cell>
        </row>
        <row r="51">
          <cell r="A51" t="str">
            <v>Wyoming</v>
          </cell>
        </row>
        <row r="52">
          <cell r="A52" t="str">
            <v>United States</v>
          </cell>
        </row>
      </sheetData>
      <sheetData sheetId="11"/>
      <sheetData sheetId="12"/>
      <sheetData sheetId="13"/>
      <sheetData sheetId="1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imon Workman" id="{997EEE91-8444-CE49-93D5-2BE24161EB4F}" userId="Simon Workman" providerId="None"/>
  <person displayName="Veronica Torres" id="{FCF39D29-193D-174D-8EB1-541AFFEB3BDA}" userId="6f3089c89a92515f" providerId="Windows Live"/>
  <person displayName="Simon Workman [P5FS]" id="{0D38BC32-AB84-8B4F-94CA-D4E5C0A3851B}" userId="Simon@prenatal5fiscal.org" providerId="PeoplePicker"/>
  <person displayName="Jeanna Capito [P5FS]" id="{E068F998-F3AB-DA4E-97CF-29616B77011B}" userId="Jeanna@prenatal5fiscal.org" providerId="PeoplePicker"/>
  <person displayName="Jeanna Capito" id="{64B905C8-2520-394D-A911-946D2885F630}" userId="S::jeanna@prenatal5fiscal.org::1261fb72-9fd2-41eb-b6a6-593fd53f6d94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3" dT="2022-02-27T16:50:14.08" personId="{64B905C8-2520-394D-A911-946D2885F630}" id="{BBC83274-9990-7A48-A4CD-6AB9D1D87095}" done="1">
    <text xml:space="preserve">@Simon Workman [P5FS] Licensing does have required hours, are these somewhere else? 
Director/Owner:
18 hours centers
12 hours FCC
Teacher/Asst Teacher:
18 hours centers 
4 hours FCC 
</text>
    <mentions>
      <mention mentionpersonId="{0D38BC32-AB84-8B4F-94CA-D4E5C0A3851B}" mentionId="{BD052E5B-FC55-8145-8A09-C85E4A9CAFB3}" startIndex="0" length="21"/>
    </mentions>
  </threadedComment>
  <threadedComment ref="B13" dT="2022-02-27T21:28:54.78" personId="{997EEE91-8444-CE49-93D5-2BE24161EB4F}" id="{C3E86FDD-D14F-DB4A-9710-A2E20A04125A}" parentId="{BBC83274-9990-7A48-A4CD-6AB9D1D87095}">
    <text xml:space="preserve">@Jeanna Capito [P5FS] yes, i took it out of here becuase i dont see it as a quality variable. it is in the QualCenterProfile tab, row 35. </text>
    <mentions>
      <mention mentionpersonId="{E068F998-F3AB-DA4E-97CF-29616B77011B}" mentionId="{50C16DF3-3240-ED4C-9969-E74CD6E2E62E}" startIndex="0" length="21"/>
    </mentions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77" dT="2024-10-25T12:17:33.04" personId="{FCF39D29-193D-174D-8EB1-541AFFEB3BDA}" id="{067B3442-FC26-8945-B360-1598D4E4088C}">
    <text xml:space="preserve">New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dhss.delaware.gov/dhss/dss/childcr.html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dhss.delaware.gov/dhss/dss/files/2024DelawareChildCareMarketRateSurvey.pdf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fns.usda.gov/cacfp/fr-0710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</sheetPr>
  <dimension ref="A1:T104"/>
  <sheetViews>
    <sheetView tabSelected="1" zoomScale="125" workbookViewId="0">
      <selection activeCell="E84" sqref="E84"/>
    </sheetView>
    <sheetView tabSelected="1" workbookViewId="1"/>
  </sheetViews>
  <sheetFormatPr baseColWidth="10" defaultColWidth="8.83203125" defaultRowHeight="13" x14ac:dyDescent="0.15"/>
  <cols>
    <col min="1" max="1" width="3.1640625" customWidth="1"/>
    <col min="2" max="2" width="22.1640625" customWidth="1"/>
    <col min="3" max="3" width="17.83203125" customWidth="1"/>
    <col min="4" max="4" width="15.1640625" customWidth="1"/>
    <col min="5" max="5" width="22.6640625" customWidth="1"/>
    <col min="6" max="6" width="14" customWidth="1"/>
    <col min="7" max="7" width="12.6640625" customWidth="1"/>
    <col min="8" max="8" width="17" customWidth="1"/>
    <col min="9" max="9" width="15.1640625" customWidth="1"/>
    <col min="10" max="10" width="14.33203125" bestFit="1" customWidth="1"/>
    <col min="11" max="11" width="6.1640625" customWidth="1"/>
    <col min="12" max="12" width="11" customWidth="1"/>
    <col min="13" max="13" width="11.1640625" customWidth="1"/>
    <col min="14" max="14" width="8.83203125" customWidth="1"/>
    <col min="15" max="15" width="10.33203125" customWidth="1"/>
  </cols>
  <sheetData>
    <row r="1" spans="1:16" ht="16" customHeight="1" x14ac:dyDescent="0.15">
      <c r="A1" s="112"/>
      <c r="B1" s="372"/>
      <c r="C1" s="113"/>
      <c r="D1" s="113"/>
      <c r="E1" s="113"/>
      <c r="F1" s="114"/>
      <c r="G1" s="182"/>
      <c r="H1" s="115" t="s">
        <v>5</v>
      </c>
      <c r="I1" s="115" t="s">
        <v>10</v>
      </c>
      <c r="J1" s="115" t="s">
        <v>12</v>
      </c>
      <c r="K1" s="116"/>
      <c r="L1" s="89"/>
      <c r="M1" s="59"/>
    </row>
    <row r="2" spans="1:16" ht="21" customHeight="1" x14ac:dyDescent="0.2">
      <c r="A2" s="117"/>
      <c r="B2" s="371" t="s">
        <v>13</v>
      </c>
      <c r="C2" s="95"/>
      <c r="D2" s="95"/>
      <c r="E2" s="95"/>
      <c r="F2" s="119"/>
      <c r="G2" s="183"/>
      <c r="H2" s="120" t="s">
        <v>5</v>
      </c>
      <c r="I2" s="120" t="s">
        <v>12</v>
      </c>
      <c r="J2" s="120"/>
      <c r="K2" s="121"/>
      <c r="L2" s="89"/>
      <c r="M2" s="89" t="s">
        <v>14</v>
      </c>
      <c r="N2" s="89" t="s">
        <v>15</v>
      </c>
      <c r="O2" s="89" t="s">
        <v>11</v>
      </c>
      <c r="P2" s="89" t="s">
        <v>12</v>
      </c>
    </row>
    <row r="3" spans="1:16" ht="8" customHeight="1" x14ac:dyDescent="0.15">
      <c r="A3" s="117"/>
      <c r="B3" s="118"/>
      <c r="C3" s="95"/>
      <c r="D3" s="95"/>
      <c r="E3" s="95"/>
      <c r="F3" s="119"/>
      <c r="G3" s="183"/>
      <c r="H3" s="120" t="s">
        <v>5</v>
      </c>
      <c r="I3" s="120" t="s">
        <v>11</v>
      </c>
      <c r="J3" s="120"/>
      <c r="K3" s="121" t="s">
        <v>16</v>
      </c>
      <c r="L3" s="89" t="s">
        <v>17</v>
      </c>
      <c r="M3" s="59"/>
    </row>
    <row r="4" spans="1:16" ht="14" x14ac:dyDescent="0.15">
      <c r="A4" s="143"/>
      <c r="B4" s="122" t="s">
        <v>399</v>
      </c>
      <c r="C4" s="96"/>
      <c r="D4" s="96"/>
      <c r="E4" s="96"/>
      <c r="F4" s="96"/>
      <c r="G4" s="96"/>
      <c r="H4" s="120"/>
      <c r="I4" s="120"/>
      <c r="J4" s="120"/>
      <c r="K4" s="121"/>
      <c r="L4" s="89"/>
      <c r="M4" s="89"/>
    </row>
    <row r="5" spans="1:16" ht="14" x14ac:dyDescent="0.15">
      <c r="A5" s="152"/>
      <c r="B5" s="122" t="s">
        <v>400</v>
      </c>
      <c r="C5" s="96"/>
      <c r="D5" s="96"/>
      <c r="E5" s="96"/>
      <c r="F5" s="96"/>
      <c r="G5" s="96"/>
      <c r="H5" s="120"/>
      <c r="I5" s="120"/>
      <c r="J5" s="120"/>
      <c r="K5" s="121"/>
      <c r="L5" s="89"/>
      <c r="M5" s="89"/>
    </row>
    <row r="6" spans="1:16" ht="15" customHeight="1" x14ac:dyDescent="0.15">
      <c r="A6" s="117"/>
      <c r="B6" s="118"/>
      <c r="C6" s="95"/>
      <c r="D6" s="95"/>
      <c r="E6" s="95"/>
      <c r="F6" s="119"/>
      <c r="G6" s="95"/>
      <c r="H6" s="120" t="s">
        <v>5</v>
      </c>
      <c r="I6" s="120" t="s">
        <v>18</v>
      </c>
      <c r="J6" s="120"/>
      <c r="K6" s="121"/>
      <c r="L6" s="375"/>
      <c r="M6" s="89"/>
    </row>
    <row r="7" spans="1:16" x14ac:dyDescent="0.15">
      <c r="A7" s="117"/>
      <c r="B7" s="156" t="s">
        <v>19</v>
      </c>
      <c r="C7" s="95"/>
      <c r="D7" s="95"/>
      <c r="E7" s="95"/>
      <c r="F7" s="95"/>
      <c r="G7" s="95"/>
      <c r="H7" s="120"/>
      <c r="I7" s="123"/>
      <c r="J7" s="120"/>
      <c r="K7" s="124"/>
      <c r="L7" s="376"/>
      <c r="M7" s="90"/>
    </row>
    <row r="8" spans="1:16" ht="28" x14ac:dyDescent="0.15">
      <c r="A8" s="117"/>
      <c r="B8" s="99" t="s">
        <v>20</v>
      </c>
      <c r="C8" s="100" t="s">
        <v>21</v>
      </c>
      <c r="D8" s="382" t="s">
        <v>22</v>
      </c>
      <c r="E8" s="101" t="s">
        <v>23</v>
      </c>
      <c r="F8" s="102" t="s">
        <v>24</v>
      </c>
      <c r="G8" s="159" t="s">
        <v>25</v>
      </c>
      <c r="H8" s="120"/>
      <c r="I8" s="120"/>
      <c r="J8" s="120"/>
      <c r="K8" s="125"/>
      <c r="L8" s="376"/>
      <c r="M8" s="89"/>
    </row>
    <row r="9" spans="1:16" ht="16" customHeight="1" x14ac:dyDescent="0.15">
      <c r="A9" s="117"/>
      <c r="B9" s="98">
        <v>1</v>
      </c>
      <c r="C9" s="126" t="s">
        <v>3</v>
      </c>
      <c r="D9" s="488" t="s">
        <v>5</v>
      </c>
      <c r="E9" s="127">
        <f>IF(D9=H$1,Ratios!B3,IF(D9=I$1,Ratios!C3,IF(D9=J$1,Ratios!D3,0)))</f>
        <v>4</v>
      </c>
      <c r="F9" s="127">
        <f>IF(D9=H$1,Ratios!B11,IF(D9=I$1,Ratios!C11,IF(D9=J$1,Ratios!D11,0)))</f>
        <v>8</v>
      </c>
      <c r="G9" s="128">
        <f>B9*F9</f>
        <v>8</v>
      </c>
      <c r="H9" s="484"/>
      <c r="I9" s="120"/>
      <c r="J9" s="120"/>
      <c r="K9" s="121"/>
      <c r="L9" s="377"/>
      <c r="M9" s="92"/>
    </row>
    <row r="10" spans="1:16" ht="17" customHeight="1" x14ac:dyDescent="0.15">
      <c r="A10" s="117"/>
      <c r="B10" s="67">
        <v>1</v>
      </c>
      <c r="C10" s="126" t="s">
        <v>6</v>
      </c>
      <c r="D10" s="488" t="s">
        <v>5</v>
      </c>
      <c r="E10" s="127">
        <f>IF(D10=H$1,Ratios!B4,IF(D10=I$1,Ratios!C4,IF(D10=J$1,Ratios!D4,0)))</f>
        <v>6</v>
      </c>
      <c r="F10" s="127">
        <f>IF(D10=H$1,Ratios!B12,IF(D10=I$1,Ratios!C12,IF(D10=J$1,Ratios!D12,0)))</f>
        <v>12</v>
      </c>
      <c r="G10" s="128">
        <f t="shared" ref="G10:G14" si="0">B10*F10</f>
        <v>12</v>
      </c>
      <c r="H10" s="120"/>
      <c r="I10" s="120" t="s">
        <v>26</v>
      </c>
      <c r="J10" s="120" t="s">
        <v>27</v>
      </c>
      <c r="K10" s="121"/>
      <c r="L10" s="377"/>
      <c r="M10" s="92"/>
    </row>
    <row r="11" spans="1:16" ht="17" customHeight="1" x14ac:dyDescent="0.15">
      <c r="A11" s="117"/>
      <c r="B11" s="93">
        <v>0</v>
      </c>
      <c r="C11" s="126" t="s">
        <v>28</v>
      </c>
      <c r="D11" s="488" t="s">
        <v>5</v>
      </c>
      <c r="E11" s="127">
        <f>IF(D11=H$1,Ratios!B5,IF(D11=I$1,Ratios!C5,IF(D11=J$1,Ratios!D5,0)))</f>
        <v>8</v>
      </c>
      <c r="F11" s="127">
        <f>IF(D11=H$1,Ratios!B13,IF(D11=I$1,Ratios!C13,IF(D11=J$1,Ratios!D13,0)))</f>
        <v>16</v>
      </c>
      <c r="G11" s="128">
        <f t="shared" si="0"/>
        <v>0</v>
      </c>
      <c r="H11" s="120"/>
      <c r="I11" s="120"/>
      <c r="J11" s="120"/>
      <c r="K11" s="121"/>
      <c r="L11" s="92"/>
      <c r="M11" s="92"/>
    </row>
    <row r="12" spans="1:16" ht="17" customHeight="1" x14ac:dyDescent="0.15">
      <c r="A12" s="117"/>
      <c r="B12" s="93">
        <v>1</v>
      </c>
      <c r="C12" s="126" t="s">
        <v>0</v>
      </c>
      <c r="D12" s="488" t="s">
        <v>5</v>
      </c>
      <c r="E12" s="127">
        <f>IF(D12=H$1,Ratios!B6,IF(D12=I$1,Ratios!C6,IF(D12=J$1,Ratios!D6,0)))</f>
        <v>10</v>
      </c>
      <c r="F12" s="127">
        <f>IF(D12=H$1,Ratios!B14,IF(D12=I$1,Ratios!C14,IF(D12=J$1,Ratios!D14,0)))</f>
        <v>20</v>
      </c>
      <c r="G12" s="128">
        <f t="shared" si="0"/>
        <v>20</v>
      </c>
      <c r="H12" s="120"/>
      <c r="I12" s="120"/>
      <c r="J12" s="120"/>
      <c r="K12" s="121"/>
      <c r="L12" s="92"/>
      <c r="M12" s="92"/>
    </row>
    <row r="13" spans="1:16" ht="15" customHeight="1" x14ac:dyDescent="0.15">
      <c r="A13" s="117"/>
      <c r="B13" s="93">
        <v>1</v>
      </c>
      <c r="C13" s="126" t="s">
        <v>1</v>
      </c>
      <c r="D13" s="488" t="s">
        <v>5</v>
      </c>
      <c r="E13" s="127">
        <f>IF(D13=H$1,Ratios!B7,IF(D13=I$1,Ratios!C7,IF(D13=J$1,Ratios!D7,0)))</f>
        <v>12</v>
      </c>
      <c r="F13" s="127">
        <f>IF(D13=H$1,Ratios!B15,IF(D13=I$1,Ratios!C15,IF(D13=J$1,Ratios!D15,0)))</f>
        <v>24</v>
      </c>
      <c r="G13" s="128">
        <f t="shared" si="0"/>
        <v>24</v>
      </c>
      <c r="H13" s="95"/>
      <c r="I13" s="95"/>
      <c r="J13" s="95"/>
      <c r="K13" s="129"/>
      <c r="L13" s="24"/>
      <c r="M13" s="16"/>
    </row>
    <row r="14" spans="1:16" ht="15" customHeight="1" x14ac:dyDescent="0.15">
      <c r="A14" s="117"/>
      <c r="B14" s="94">
        <v>1</v>
      </c>
      <c r="C14" s="126" t="s">
        <v>2</v>
      </c>
      <c r="D14" s="488" t="s">
        <v>5</v>
      </c>
      <c r="E14" s="127">
        <f>IF(D14=H$1,Ratios!B8,IF(D14=I$1,Ratios!C8,IF(D14=J$1,Ratios!D8,0)))</f>
        <v>15</v>
      </c>
      <c r="F14" s="127">
        <f>IF(D14=H$1,Ratios!B16,IF(D14=I$1,Ratios!C16,IF(D14=J$1,Ratios!D16,0)))</f>
        <v>30</v>
      </c>
      <c r="G14" s="128">
        <f t="shared" si="0"/>
        <v>30</v>
      </c>
      <c r="H14" s="118"/>
      <c r="I14" s="95"/>
      <c r="J14" s="95"/>
      <c r="K14" s="129"/>
      <c r="L14" s="24"/>
      <c r="M14" s="16"/>
    </row>
    <row r="15" spans="1:16" ht="19" customHeight="1" x14ac:dyDescent="0.15">
      <c r="A15" s="117"/>
      <c r="B15" s="80">
        <f>SUM(B9:B14)</f>
        <v>5</v>
      </c>
      <c r="C15" s="79" t="s">
        <v>29</v>
      </c>
      <c r="D15" s="29"/>
      <c r="E15" s="29"/>
      <c r="F15" s="80" t="s">
        <v>30</v>
      </c>
      <c r="G15" s="80">
        <f>SUM(G9:G14)</f>
        <v>94</v>
      </c>
      <c r="H15" s="118"/>
      <c r="I15" s="95"/>
      <c r="J15" s="95"/>
      <c r="K15" s="129"/>
    </row>
    <row r="16" spans="1:16" ht="12.75" customHeight="1" x14ac:dyDescent="0.15">
      <c r="A16" s="117"/>
      <c r="B16" s="130"/>
      <c r="C16" s="131"/>
      <c r="D16" s="95"/>
      <c r="E16" s="118"/>
      <c r="F16" s="95"/>
      <c r="G16" s="118"/>
      <c r="H16" s="118"/>
      <c r="I16" s="95"/>
      <c r="J16" s="119"/>
      <c r="K16" s="129"/>
    </row>
    <row r="17" spans="1:20" ht="12.75" customHeight="1" x14ac:dyDescent="0.15">
      <c r="A17" s="117"/>
      <c r="B17" s="130"/>
      <c r="C17" s="131"/>
      <c r="D17" s="96"/>
      <c r="E17" s="118"/>
      <c r="F17" s="95"/>
      <c r="G17" s="118"/>
      <c r="H17" s="95"/>
      <c r="I17" s="95"/>
      <c r="J17" s="119"/>
      <c r="K17" s="129"/>
    </row>
    <row r="18" spans="1:20" x14ac:dyDescent="0.15">
      <c r="A18" s="117"/>
      <c r="B18" s="95"/>
      <c r="C18" s="95"/>
      <c r="D18" s="95"/>
      <c r="E18" s="95"/>
      <c r="F18" s="95"/>
      <c r="G18" s="95"/>
      <c r="H18" s="95"/>
      <c r="I18" s="95"/>
      <c r="J18" s="95"/>
      <c r="K18" s="129"/>
    </row>
    <row r="19" spans="1:20" x14ac:dyDescent="0.15">
      <c r="A19" s="117"/>
      <c r="B19" s="154" t="s">
        <v>31</v>
      </c>
      <c r="C19" s="136"/>
      <c r="D19" s="155"/>
      <c r="E19" s="97"/>
      <c r="F19" s="132"/>
      <c r="G19" s="95"/>
      <c r="H19" s="95"/>
      <c r="I19" s="95"/>
      <c r="J19" s="95"/>
      <c r="K19" s="129"/>
    </row>
    <row r="20" spans="1:20" x14ac:dyDescent="0.15">
      <c r="A20" s="117"/>
      <c r="B20" s="157" t="s">
        <v>32</v>
      </c>
      <c r="C20" s="108" t="s">
        <v>33</v>
      </c>
      <c r="D20" s="109" t="s">
        <v>34</v>
      </c>
      <c r="E20" s="108" t="s">
        <v>35</v>
      </c>
      <c r="F20" s="323"/>
      <c r="G20" s="323"/>
      <c r="H20" s="95"/>
      <c r="I20" s="321"/>
      <c r="J20" s="95"/>
      <c r="K20" s="129"/>
    </row>
    <row r="21" spans="1:20" x14ac:dyDescent="0.15">
      <c r="A21" s="117"/>
      <c r="B21" s="103" t="str">
        <f>Wages!A5</f>
        <v>Entry</v>
      </c>
      <c r="C21" s="487"/>
      <c r="D21" s="487"/>
      <c r="E21" s="487"/>
      <c r="F21" s="324">
        <v>0</v>
      </c>
      <c r="G21" s="324"/>
      <c r="H21" s="95"/>
      <c r="I21" s="322"/>
      <c r="J21" s="317"/>
      <c r="K21" s="129"/>
      <c r="M21" s="472"/>
      <c r="N21" s="472"/>
      <c r="O21" s="472"/>
    </row>
    <row r="22" spans="1:20" x14ac:dyDescent="0.15">
      <c r="A22" s="117"/>
      <c r="B22" s="103" t="str">
        <f>Wages!A6</f>
        <v>Level 1</v>
      </c>
      <c r="C22" s="487"/>
      <c r="D22" s="487">
        <v>1</v>
      </c>
      <c r="E22" s="487">
        <v>1</v>
      </c>
      <c r="F22" s="324"/>
      <c r="G22" s="324"/>
      <c r="H22" s="95"/>
      <c r="I22" s="322"/>
      <c r="J22" s="317"/>
      <c r="K22" s="129"/>
      <c r="M22" s="472"/>
      <c r="N22" s="472"/>
    </row>
    <row r="23" spans="1:20" x14ac:dyDescent="0.15">
      <c r="A23" s="117"/>
      <c r="B23" s="103" t="str">
        <f>Wages!A7</f>
        <v>Level 2</v>
      </c>
      <c r="C23" s="487">
        <v>1</v>
      </c>
      <c r="D23" s="487"/>
      <c r="E23" s="487"/>
      <c r="F23" s="324"/>
      <c r="G23" s="324"/>
      <c r="H23" s="95"/>
      <c r="I23" s="322"/>
      <c r="J23" s="317"/>
      <c r="K23" s="129"/>
    </row>
    <row r="24" spans="1:20" ht="14" thickBot="1" x14ac:dyDescent="0.2">
      <c r="A24" s="117"/>
      <c r="B24" s="103" t="str">
        <f>Wages!A8</f>
        <v>Level 3</v>
      </c>
      <c r="C24" s="487"/>
      <c r="D24" s="487"/>
      <c r="E24" s="487"/>
      <c r="F24" s="324"/>
      <c r="G24" s="324"/>
      <c r="H24" s="95"/>
      <c r="I24" s="322"/>
      <c r="J24" s="317"/>
      <c r="K24" s="129"/>
    </row>
    <row r="25" spans="1:20" x14ac:dyDescent="0.15">
      <c r="A25" s="117"/>
      <c r="B25" s="481" t="str">
        <f>Wages!A9</f>
        <v>Level 4</v>
      </c>
      <c r="C25" s="487"/>
      <c r="D25" s="487"/>
      <c r="E25" s="487"/>
      <c r="F25" s="324">
        <v>0</v>
      </c>
      <c r="G25" s="324"/>
      <c r="H25" s="194" t="s">
        <v>36</v>
      </c>
      <c r="I25" s="195"/>
      <c r="J25" s="187"/>
      <c r="K25" s="129"/>
    </row>
    <row r="26" spans="1:20" x14ac:dyDescent="0.15">
      <c r="A26" s="117"/>
      <c r="B26" s="184"/>
      <c r="C26" s="185">
        <f>SUM(C21:C25)</f>
        <v>1</v>
      </c>
      <c r="D26" s="186">
        <f>SUM(D21:D25)</f>
        <v>1</v>
      </c>
      <c r="E26" s="186">
        <f>SUM(E21:E25)</f>
        <v>1</v>
      </c>
      <c r="F26" s="186"/>
      <c r="G26" s="186"/>
      <c r="H26" s="188"/>
      <c r="I26" s="474" t="s">
        <v>40</v>
      </c>
      <c r="J26" s="189" t="s">
        <v>41</v>
      </c>
      <c r="K26" s="129"/>
      <c r="L26" s="59"/>
      <c r="M26" s="59"/>
      <c r="N26" s="59"/>
      <c r="O26" s="59"/>
      <c r="P26" s="59"/>
      <c r="Q26" s="59"/>
      <c r="R26" s="59"/>
    </row>
    <row r="27" spans="1:20" x14ac:dyDescent="0.15">
      <c r="A27" s="117"/>
      <c r="B27" s="184"/>
      <c r="C27" s="319" t="str">
        <f>IF(C26=1," ","total must=100%")</f>
        <v xml:space="preserve"> </v>
      </c>
      <c r="D27" s="319" t="str">
        <f t="shared" ref="D27:E27" si="1">IF(D26=1," ","total must=100%")</f>
        <v xml:space="preserve"> </v>
      </c>
      <c r="E27" s="319" t="str">
        <f t="shared" si="1"/>
        <v xml:space="preserve"> </v>
      </c>
      <c r="F27" s="106"/>
      <c r="G27" s="106"/>
      <c r="H27" s="190"/>
      <c r="I27" s="191" t="s">
        <v>43</v>
      </c>
      <c r="J27" s="489">
        <v>50000</v>
      </c>
      <c r="K27" s="129"/>
      <c r="L27" s="59"/>
      <c r="M27" s="59"/>
      <c r="N27" s="59"/>
      <c r="O27" s="59"/>
      <c r="P27" s="59"/>
      <c r="Q27" s="59"/>
      <c r="R27" s="59"/>
    </row>
    <row r="28" spans="1:20" x14ac:dyDescent="0.15">
      <c r="A28" s="117"/>
      <c r="B28" s="184" t="s">
        <v>36</v>
      </c>
      <c r="C28" s="497" t="s">
        <v>37</v>
      </c>
      <c r="D28" s="504" t="s">
        <v>38</v>
      </c>
      <c r="E28" s="504"/>
      <c r="F28" s="504"/>
      <c r="G28" s="106" t="s">
        <v>39</v>
      </c>
      <c r="H28" s="188"/>
      <c r="I28" s="192" t="s">
        <v>35</v>
      </c>
      <c r="J28" s="490">
        <v>50000</v>
      </c>
      <c r="K28" s="129"/>
      <c r="L28" s="180"/>
      <c r="M28" s="180"/>
      <c r="N28" s="180"/>
      <c r="O28" s="180"/>
      <c r="P28" s="180"/>
      <c r="Q28" s="180"/>
      <c r="R28" s="180"/>
    </row>
    <row r="29" spans="1:20" ht="14" thickBot="1" x14ac:dyDescent="0.2">
      <c r="A29" s="117"/>
      <c r="B29" s="183"/>
      <c r="D29" s="504"/>
      <c r="E29" s="504"/>
      <c r="F29" s="504"/>
      <c r="G29" s="196" t="s">
        <v>37</v>
      </c>
      <c r="H29" s="475"/>
      <c r="I29" s="193" t="s">
        <v>47</v>
      </c>
      <c r="J29" s="491">
        <v>90000</v>
      </c>
      <c r="K29" s="129"/>
      <c r="L29" s="180"/>
      <c r="M29" s="180"/>
      <c r="N29" s="180"/>
      <c r="O29" s="180"/>
      <c r="P29" s="180"/>
      <c r="Q29" s="180"/>
      <c r="R29" s="180"/>
    </row>
    <row r="30" spans="1:20" s="18" customFormat="1" x14ac:dyDescent="0.15">
      <c r="A30" s="134"/>
      <c r="B30" s="136" t="s">
        <v>42</v>
      </c>
      <c r="C30" s="365"/>
      <c r="D30" s="366"/>
      <c r="E30" s="120"/>
      <c r="F30" s="107"/>
      <c r="G30" s="107"/>
      <c r="H30" s="96"/>
      <c r="I30" s="96"/>
      <c r="J30" s="96"/>
      <c r="K30" s="135"/>
      <c r="L30" s="59"/>
      <c r="M30" s="180"/>
      <c r="N30" s="180"/>
      <c r="O30" s="180"/>
      <c r="P30" s="180"/>
      <c r="Q30" s="180"/>
      <c r="R30" s="180"/>
      <c r="S30" s="478"/>
      <c r="T30" s="478"/>
    </row>
    <row r="31" spans="1:20" ht="17" customHeight="1" x14ac:dyDescent="0.15">
      <c r="A31" s="117"/>
      <c r="B31" s="502"/>
      <c r="C31" s="503"/>
      <c r="D31" s="506" t="s">
        <v>44</v>
      </c>
      <c r="E31" s="507"/>
      <c r="F31" s="105"/>
      <c r="G31" s="104"/>
      <c r="H31" s="95"/>
      <c r="I31" s="95"/>
      <c r="J31" s="95"/>
      <c r="K31" s="129"/>
      <c r="L31" s="59"/>
      <c r="M31" s="180"/>
      <c r="N31" s="180"/>
      <c r="O31" s="180"/>
      <c r="P31" s="180"/>
      <c r="Q31" s="180"/>
      <c r="R31" s="180"/>
      <c r="S31" s="477"/>
      <c r="T31" s="477"/>
    </row>
    <row r="32" spans="1:20" ht="17" customHeight="1" x14ac:dyDescent="0.15">
      <c r="A32" s="117"/>
      <c r="B32" s="500" t="s">
        <v>45</v>
      </c>
      <c r="C32" s="501"/>
      <c r="D32" s="505" t="s">
        <v>46</v>
      </c>
      <c r="E32" s="505"/>
      <c r="G32" s="110"/>
      <c r="H32" s="95"/>
      <c r="I32" s="95"/>
      <c r="J32" s="95"/>
      <c r="K32" s="129"/>
      <c r="L32" s="89" t="s">
        <v>46</v>
      </c>
      <c r="M32" s="479" t="s">
        <v>48</v>
      </c>
      <c r="N32" s="479" t="s">
        <v>49</v>
      </c>
      <c r="O32" s="479" t="s">
        <v>50</v>
      </c>
      <c r="P32" s="479"/>
      <c r="Q32" s="180"/>
      <c r="R32" s="180"/>
      <c r="S32" s="477"/>
      <c r="T32" s="477"/>
    </row>
    <row r="33" spans="1:20" ht="17" customHeight="1" x14ac:dyDescent="0.15">
      <c r="A33" s="117"/>
      <c r="B33" s="27"/>
      <c r="C33" s="243" t="s">
        <v>51</v>
      </c>
      <c r="D33" s="505" t="s">
        <v>46</v>
      </c>
      <c r="E33" s="505"/>
      <c r="F33" s="105"/>
      <c r="G33" s="105"/>
      <c r="H33" s="95"/>
      <c r="I33" s="476"/>
      <c r="J33" s="238"/>
      <c r="K33" s="129"/>
      <c r="L33" s="89" t="s">
        <v>46</v>
      </c>
      <c r="M33" s="479" t="s">
        <v>387</v>
      </c>
      <c r="N33" s="479" t="s">
        <v>388</v>
      </c>
      <c r="O33" s="479" t="s">
        <v>389</v>
      </c>
      <c r="P33" s="479"/>
      <c r="Q33" s="180"/>
      <c r="R33" s="180"/>
      <c r="S33" s="477"/>
      <c r="T33" s="477"/>
    </row>
    <row r="34" spans="1:20" ht="17" customHeight="1" x14ac:dyDescent="0.15">
      <c r="A34" s="117"/>
      <c r="B34" s="27"/>
      <c r="C34" s="243" t="s">
        <v>52</v>
      </c>
      <c r="D34" s="505" t="s">
        <v>46</v>
      </c>
      <c r="E34" s="505"/>
      <c r="F34" s="284"/>
      <c r="G34" s="95"/>
      <c r="H34" s="110"/>
      <c r="I34" s="95"/>
      <c r="J34" s="238"/>
      <c r="K34" s="129"/>
      <c r="L34" s="89" t="s">
        <v>46</v>
      </c>
      <c r="M34" s="479" t="s">
        <v>390</v>
      </c>
      <c r="N34" s="479" t="s">
        <v>391</v>
      </c>
      <c r="O34" s="479"/>
      <c r="P34" s="479"/>
      <c r="Q34" s="180"/>
      <c r="R34" s="180"/>
      <c r="S34" s="477"/>
      <c r="T34" s="477"/>
    </row>
    <row r="35" spans="1:20" ht="17" customHeight="1" x14ac:dyDescent="0.15">
      <c r="A35" s="117"/>
      <c r="B35" s="511" t="s">
        <v>53</v>
      </c>
      <c r="C35" s="512"/>
      <c r="D35" s="505" t="s">
        <v>46</v>
      </c>
      <c r="E35" s="505"/>
      <c r="F35" s="110"/>
      <c r="G35" s="105"/>
      <c r="H35" s="110"/>
      <c r="I35" s="95"/>
      <c r="J35" s="238"/>
      <c r="K35" s="129"/>
      <c r="L35" s="89" t="s">
        <v>46</v>
      </c>
      <c r="M35" s="479" t="s">
        <v>392</v>
      </c>
      <c r="N35" s="479" t="s">
        <v>393</v>
      </c>
      <c r="O35" s="479" t="s">
        <v>394</v>
      </c>
      <c r="P35" s="479"/>
      <c r="Q35" s="180"/>
      <c r="R35" s="180"/>
      <c r="S35" s="477"/>
      <c r="T35" s="477"/>
    </row>
    <row r="36" spans="1:20" ht="17" customHeight="1" x14ac:dyDescent="0.15">
      <c r="A36" s="117"/>
      <c r="B36" s="27"/>
      <c r="C36" s="243" t="s">
        <v>54</v>
      </c>
      <c r="D36" s="505" t="s">
        <v>46</v>
      </c>
      <c r="E36" s="505"/>
      <c r="F36" s="105"/>
      <c r="G36" s="105"/>
      <c r="H36" s="110"/>
      <c r="I36" s="95"/>
      <c r="J36" s="238"/>
      <c r="K36" s="129"/>
      <c r="L36" s="89" t="s">
        <v>46</v>
      </c>
      <c r="M36" s="479" t="s">
        <v>395</v>
      </c>
      <c r="N36" s="479" t="s">
        <v>396</v>
      </c>
      <c r="O36" s="479"/>
      <c r="P36" s="479"/>
      <c r="Q36" s="180"/>
      <c r="R36" s="180"/>
      <c r="S36" s="477"/>
      <c r="T36" s="477"/>
    </row>
    <row r="37" spans="1:20" ht="17" customHeight="1" x14ac:dyDescent="0.15">
      <c r="A37" s="117"/>
      <c r="B37" s="513" t="s">
        <v>55</v>
      </c>
      <c r="C37" s="514"/>
      <c r="D37" s="505" t="s">
        <v>56</v>
      </c>
      <c r="E37" s="505"/>
      <c r="F37" s="105"/>
      <c r="G37" s="105"/>
      <c r="H37" s="110"/>
      <c r="I37" s="95"/>
      <c r="J37" s="238"/>
      <c r="K37" s="129"/>
      <c r="L37" s="89" t="s">
        <v>56</v>
      </c>
      <c r="M37" s="479" t="s">
        <v>386</v>
      </c>
      <c r="N37" s="479"/>
      <c r="O37" s="479"/>
      <c r="P37" s="479"/>
      <c r="Q37" s="180"/>
      <c r="R37" s="180"/>
      <c r="S37" s="477"/>
      <c r="T37" s="477"/>
    </row>
    <row r="38" spans="1:20" ht="17" customHeight="1" x14ac:dyDescent="0.15">
      <c r="A38" s="117"/>
      <c r="B38" s="508" t="s">
        <v>57</v>
      </c>
      <c r="C38" s="509"/>
      <c r="D38" s="510">
        <v>0</v>
      </c>
      <c r="E38" s="510"/>
      <c r="F38" s="284" t="s">
        <v>58</v>
      </c>
      <c r="G38" s="105"/>
      <c r="H38" s="285"/>
      <c r="I38" s="95"/>
      <c r="J38" s="95"/>
      <c r="K38" s="129"/>
      <c r="L38" s="59"/>
      <c r="M38" s="180"/>
      <c r="N38" s="180"/>
      <c r="O38" s="180"/>
      <c r="P38" s="180"/>
      <c r="Q38" s="180"/>
      <c r="R38" s="180"/>
      <c r="S38" s="477"/>
      <c r="T38" s="477"/>
    </row>
    <row r="39" spans="1:20" x14ac:dyDescent="0.15">
      <c r="A39" s="117"/>
      <c r="B39" s="96"/>
      <c r="C39" s="96"/>
      <c r="D39" s="95"/>
      <c r="E39" s="119"/>
      <c r="F39" s="95"/>
      <c r="G39" s="95"/>
      <c r="H39" s="95"/>
      <c r="I39" s="95"/>
      <c r="J39" s="95"/>
      <c r="K39" s="129"/>
      <c r="L39" s="59"/>
      <c r="M39" s="180"/>
      <c r="N39" s="180"/>
      <c r="O39" s="180"/>
      <c r="P39" s="180"/>
      <c r="Q39" s="180"/>
      <c r="R39" s="180"/>
      <c r="S39" s="477"/>
      <c r="T39" s="477"/>
    </row>
    <row r="40" spans="1:20" ht="17" customHeight="1" x14ac:dyDescent="0.15">
      <c r="A40" s="117"/>
      <c r="B40" s="158" t="s">
        <v>59</v>
      </c>
      <c r="C40" s="158"/>
      <c r="D40" s="158"/>
      <c r="E40" s="119"/>
      <c r="F40" s="95"/>
      <c r="G40" s="95"/>
      <c r="H40" s="95"/>
      <c r="I40" s="95"/>
      <c r="J40" s="95"/>
      <c r="K40" s="129"/>
      <c r="L40" s="59"/>
      <c r="M40" s="180"/>
      <c r="N40" s="180"/>
      <c r="O40" s="180"/>
      <c r="P40" s="180"/>
      <c r="Q40" s="180"/>
      <c r="R40" s="180"/>
      <c r="S40" s="477"/>
      <c r="T40" s="477"/>
    </row>
    <row r="41" spans="1:20" ht="18" customHeight="1" x14ac:dyDescent="0.15">
      <c r="A41" s="117"/>
      <c r="C41" s="86" t="s">
        <v>60</v>
      </c>
      <c r="D41" s="94" t="s">
        <v>39</v>
      </c>
      <c r="E41" s="242" t="s">
        <v>61</v>
      </c>
      <c r="F41" s="157"/>
      <c r="G41" s="157"/>
      <c r="H41" s="157"/>
      <c r="I41" s="320" t="s">
        <v>39</v>
      </c>
      <c r="J41" s="320" t="s">
        <v>37</v>
      </c>
      <c r="K41" s="129"/>
      <c r="L41" s="59"/>
      <c r="M41" s="180"/>
      <c r="N41" s="180"/>
      <c r="O41" s="180"/>
      <c r="P41" s="180"/>
      <c r="Q41" s="180"/>
      <c r="R41" s="180"/>
      <c r="S41" s="477"/>
      <c r="T41" s="477"/>
    </row>
    <row r="42" spans="1:20" ht="17" customHeight="1" x14ac:dyDescent="0.15">
      <c r="A42" s="117"/>
      <c r="B42" s="95"/>
      <c r="C42" s="87" t="s">
        <v>62</v>
      </c>
      <c r="D42" s="492">
        <v>10</v>
      </c>
      <c r="E42" s="242" t="s">
        <v>63</v>
      </c>
      <c r="F42" s="157"/>
      <c r="G42" s="157"/>
      <c r="H42" s="157"/>
      <c r="I42" s="157"/>
      <c r="J42" s="157"/>
      <c r="K42" s="129"/>
      <c r="L42" s="59"/>
      <c r="M42" s="180"/>
      <c r="N42" s="180"/>
      <c r="O42" s="180"/>
      <c r="P42" s="180"/>
      <c r="Q42" s="180"/>
      <c r="R42" s="180"/>
      <c r="S42" s="477"/>
      <c r="T42" s="477"/>
    </row>
    <row r="43" spans="1:20" ht="17" customHeight="1" x14ac:dyDescent="0.15">
      <c r="A43" s="117"/>
      <c r="B43" s="95"/>
      <c r="C43" s="88" t="s">
        <v>64</v>
      </c>
      <c r="D43" s="492">
        <v>10</v>
      </c>
      <c r="E43" s="142" t="s">
        <v>65</v>
      </c>
      <c r="F43" s="95"/>
      <c r="G43" s="95"/>
      <c r="H43" s="95"/>
      <c r="I43" s="95"/>
      <c r="J43" s="95"/>
      <c r="K43" s="129"/>
      <c r="L43" s="59"/>
      <c r="M43" s="59"/>
      <c r="N43" s="59"/>
      <c r="O43" s="59"/>
      <c r="P43" s="59"/>
      <c r="Q43" s="59"/>
      <c r="R43" s="59"/>
    </row>
    <row r="44" spans="1:20" ht="16" customHeight="1" x14ac:dyDescent="0.15">
      <c r="A44" s="117"/>
      <c r="B44" s="95"/>
      <c r="C44" s="95"/>
      <c r="D44" s="95"/>
      <c r="E44" s="95"/>
      <c r="F44" s="95"/>
      <c r="G44" s="95"/>
      <c r="H44" s="96"/>
      <c r="I44" s="95"/>
      <c r="J44" s="95"/>
      <c r="K44" s="129"/>
    </row>
    <row r="45" spans="1:20" ht="13" customHeight="1" x14ac:dyDescent="0.15">
      <c r="A45" s="117"/>
      <c r="B45" s="136" t="s">
        <v>66</v>
      </c>
      <c r="C45" s="136"/>
      <c r="D45" s="136"/>
      <c r="G45" s="95"/>
      <c r="H45" s="95"/>
      <c r="I45" s="95"/>
      <c r="J45" s="95"/>
      <c r="K45" s="129"/>
    </row>
    <row r="46" spans="1:20" x14ac:dyDescent="0.15">
      <c r="A46" s="117"/>
      <c r="B46" s="78"/>
      <c r="C46" s="140" t="s">
        <v>67</v>
      </c>
      <c r="D46" s="141"/>
      <c r="E46" s="493">
        <v>0.85</v>
      </c>
      <c r="F46" s="132" t="s">
        <v>68</v>
      </c>
      <c r="G46" s="95"/>
      <c r="H46" s="95"/>
      <c r="I46" s="95"/>
      <c r="J46" s="95"/>
      <c r="K46" s="129"/>
    </row>
    <row r="47" spans="1:20" x14ac:dyDescent="0.15">
      <c r="A47" s="117"/>
      <c r="B47" s="133"/>
      <c r="C47" s="139" t="s">
        <v>69</v>
      </c>
      <c r="D47" s="75"/>
      <c r="E47" s="493">
        <v>0.03</v>
      </c>
      <c r="F47" s="132" t="s">
        <v>70</v>
      </c>
      <c r="G47" s="95"/>
      <c r="H47" s="95"/>
      <c r="I47" s="95"/>
      <c r="J47" s="95"/>
      <c r="K47" s="129"/>
    </row>
    <row r="48" spans="1:20" x14ac:dyDescent="0.15">
      <c r="A48" s="117"/>
      <c r="B48" s="133"/>
      <c r="C48" s="137"/>
      <c r="D48" s="95"/>
      <c r="E48" s="97"/>
      <c r="F48" s="132"/>
      <c r="G48" s="95"/>
      <c r="H48" s="95"/>
      <c r="I48" s="95"/>
      <c r="J48" s="95"/>
      <c r="K48" s="129"/>
    </row>
    <row r="49" spans="1:11" x14ac:dyDescent="0.15">
      <c r="A49" s="117"/>
      <c r="B49" s="136" t="s">
        <v>71</v>
      </c>
      <c r="C49" s="367"/>
      <c r="D49" s="155"/>
      <c r="E49" s="97"/>
      <c r="F49" s="132"/>
      <c r="G49" s="95"/>
      <c r="H49" s="95"/>
      <c r="I49" s="95"/>
      <c r="J49" s="95"/>
      <c r="K49" s="129"/>
    </row>
    <row r="50" spans="1:11" x14ac:dyDescent="0.15">
      <c r="A50" s="117"/>
      <c r="B50" s="157" t="s">
        <v>72</v>
      </c>
      <c r="C50" s="137"/>
      <c r="D50" s="95"/>
      <c r="E50" s="95"/>
      <c r="F50" s="95"/>
      <c r="G50" s="129"/>
      <c r="J50" s="95"/>
      <c r="K50" s="129"/>
    </row>
    <row r="51" spans="1:11" ht="28" customHeight="1" x14ac:dyDescent="0.15">
      <c r="A51" s="117"/>
      <c r="B51" s="95"/>
      <c r="C51" s="286" t="s">
        <v>73</v>
      </c>
      <c r="D51" s="286" t="s">
        <v>74</v>
      </c>
      <c r="E51" s="287" t="s">
        <v>75</v>
      </c>
      <c r="F51" s="95"/>
      <c r="G51" s="119"/>
      <c r="H51" s="119"/>
      <c r="I51" s="119"/>
      <c r="J51" s="119"/>
      <c r="K51" s="129"/>
    </row>
    <row r="52" spans="1:11" x14ac:dyDescent="0.15">
      <c r="A52" s="117"/>
      <c r="B52" s="288" t="str">
        <f t="shared" ref="B52:B57" si="2">C9</f>
        <v>Infants</v>
      </c>
      <c r="C52" s="494">
        <v>3</v>
      </c>
      <c r="D52" s="494">
        <v>0</v>
      </c>
      <c r="E52" s="370">
        <f t="shared" ref="E52:E58" si="3">G9-D52-C52</f>
        <v>5</v>
      </c>
      <c r="F52" s="95"/>
      <c r="G52" s="95"/>
      <c r="H52" s="95"/>
      <c r="I52" s="95"/>
      <c r="J52" s="95"/>
      <c r="K52" s="129"/>
    </row>
    <row r="53" spans="1:11" x14ac:dyDescent="0.15">
      <c r="A53" s="117"/>
      <c r="B53" s="288" t="str">
        <f t="shared" si="2"/>
        <v>Toddler I</v>
      </c>
      <c r="C53" s="494">
        <v>3</v>
      </c>
      <c r="D53" s="494">
        <v>0</v>
      </c>
      <c r="E53" s="370">
        <f t="shared" si="3"/>
        <v>9</v>
      </c>
      <c r="F53" s="95"/>
      <c r="G53" s="95"/>
      <c r="H53" s="95"/>
      <c r="I53" s="95"/>
      <c r="J53" s="95"/>
      <c r="K53" s="129"/>
    </row>
    <row r="54" spans="1:11" x14ac:dyDescent="0.15">
      <c r="A54" s="117"/>
      <c r="B54" s="288" t="str">
        <f t="shared" si="2"/>
        <v>Toddler II</v>
      </c>
      <c r="C54" s="494">
        <v>3</v>
      </c>
      <c r="D54" s="494">
        <v>0</v>
      </c>
      <c r="E54" s="370">
        <f t="shared" si="3"/>
        <v>-3</v>
      </c>
      <c r="F54" s="95"/>
      <c r="G54" s="95"/>
      <c r="H54" s="95"/>
      <c r="I54" s="95"/>
      <c r="J54" s="95"/>
      <c r="K54" s="129"/>
    </row>
    <row r="55" spans="1:11" x14ac:dyDescent="0.15">
      <c r="A55" s="117"/>
      <c r="B55" s="288" t="str">
        <f t="shared" si="2"/>
        <v>3-year-old</v>
      </c>
      <c r="C55" s="494">
        <v>3</v>
      </c>
      <c r="D55" s="494">
        <v>0</v>
      </c>
      <c r="E55" s="370">
        <f t="shared" si="3"/>
        <v>17</v>
      </c>
      <c r="F55" s="95"/>
      <c r="G55" s="95"/>
      <c r="H55" s="95"/>
      <c r="I55" s="95"/>
      <c r="J55" s="95"/>
      <c r="K55" s="129"/>
    </row>
    <row r="56" spans="1:11" x14ac:dyDescent="0.15">
      <c r="A56" s="117"/>
      <c r="B56" s="288" t="str">
        <f t="shared" si="2"/>
        <v>4-year-old</v>
      </c>
      <c r="C56" s="494">
        <v>0</v>
      </c>
      <c r="D56" s="494">
        <v>0</v>
      </c>
      <c r="E56" s="370">
        <f t="shared" si="3"/>
        <v>24</v>
      </c>
      <c r="F56" s="95"/>
      <c r="G56" s="95"/>
      <c r="H56" s="95"/>
      <c r="I56" s="95"/>
      <c r="J56" s="95"/>
      <c r="K56" s="129"/>
    </row>
    <row r="57" spans="1:11" x14ac:dyDescent="0.15">
      <c r="A57" s="117"/>
      <c r="B57" s="288" t="str">
        <f t="shared" si="2"/>
        <v>School age</v>
      </c>
      <c r="C57" s="494">
        <v>3</v>
      </c>
      <c r="D57" s="494">
        <v>0</v>
      </c>
      <c r="E57" s="370">
        <f t="shared" si="3"/>
        <v>27</v>
      </c>
      <c r="F57" s="95"/>
      <c r="G57" s="95"/>
      <c r="H57" s="95"/>
      <c r="I57" s="95"/>
      <c r="J57" s="95"/>
      <c r="K57" s="129"/>
    </row>
    <row r="58" spans="1:11" ht="14" thickBot="1" x14ac:dyDescent="0.2">
      <c r="A58" s="117"/>
      <c r="B58" s="289" t="s">
        <v>76</v>
      </c>
      <c r="C58" s="56">
        <f>SUM(C52:C57)</f>
        <v>15</v>
      </c>
      <c r="D58" s="56">
        <f>SUM(D52:D57)</f>
        <v>0</v>
      </c>
      <c r="E58" s="370">
        <f t="shared" si="3"/>
        <v>79</v>
      </c>
      <c r="F58" s="95"/>
      <c r="G58" s="95"/>
      <c r="H58" s="95"/>
      <c r="I58" s="95"/>
      <c r="J58" s="95"/>
      <c r="K58" s="129"/>
    </row>
    <row r="59" spans="1:11" x14ac:dyDescent="0.15">
      <c r="A59" s="117"/>
      <c r="B59" s="160"/>
      <c r="C59" s="163" t="s">
        <v>77</v>
      </c>
      <c r="D59" s="161">
        <f>SUM(C58:D58)</f>
        <v>15</v>
      </c>
      <c r="E59" s="95"/>
      <c r="F59" s="95"/>
      <c r="G59" s="95"/>
      <c r="H59" s="95"/>
      <c r="I59" s="95"/>
      <c r="J59" s="95"/>
      <c r="K59" s="129"/>
    </row>
    <row r="60" spans="1:11" ht="14" thickBot="1" x14ac:dyDescent="0.2">
      <c r="A60" s="117"/>
      <c r="B60" s="162"/>
      <c r="C60" s="164" t="s">
        <v>78</v>
      </c>
      <c r="D60" s="165">
        <f>D59/G15</f>
        <v>0.15957446808510639</v>
      </c>
      <c r="E60" s="95"/>
      <c r="F60" s="95"/>
      <c r="G60" s="95"/>
      <c r="H60" s="95"/>
      <c r="I60" s="95"/>
      <c r="J60" s="95"/>
      <c r="K60" s="129"/>
    </row>
    <row r="61" spans="1:11" x14ac:dyDescent="0.15">
      <c r="A61" s="117"/>
      <c r="B61" s="132"/>
      <c r="C61" s="318"/>
      <c r="D61" s="111"/>
      <c r="E61" s="95"/>
      <c r="F61" s="95"/>
      <c r="G61" s="95"/>
      <c r="H61" s="95"/>
      <c r="I61" s="95"/>
      <c r="J61" s="95"/>
      <c r="K61" s="129"/>
    </row>
    <row r="62" spans="1:11" x14ac:dyDescent="0.15">
      <c r="A62" s="117"/>
      <c r="B62" s="118" t="s">
        <v>79</v>
      </c>
      <c r="C62" s="360" t="s">
        <v>80</v>
      </c>
      <c r="D62" s="495">
        <v>0</v>
      </c>
      <c r="E62" s="95"/>
      <c r="F62" s="95"/>
      <c r="G62" s="95"/>
      <c r="H62" s="95"/>
      <c r="I62" s="95"/>
      <c r="J62" s="95"/>
      <c r="K62" s="129"/>
    </row>
    <row r="63" spans="1:11" x14ac:dyDescent="0.15">
      <c r="A63" s="117"/>
      <c r="B63" s="118"/>
      <c r="C63" s="360"/>
      <c r="D63" s="361"/>
      <c r="E63" s="95"/>
      <c r="F63" s="95"/>
      <c r="G63" s="95"/>
      <c r="H63" s="95"/>
      <c r="I63" s="95"/>
      <c r="J63" s="95"/>
      <c r="K63" s="129"/>
    </row>
    <row r="64" spans="1:11" x14ac:dyDescent="0.15">
      <c r="A64" s="188"/>
      <c r="B64" s="362"/>
      <c r="C64" s="362"/>
      <c r="D64" s="363"/>
      <c r="E64" s="362"/>
      <c r="F64" s="362"/>
      <c r="G64" s="362"/>
      <c r="H64" s="362"/>
      <c r="I64" s="362"/>
      <c r="J64" s="362"/>
      <c r="K64" s="364"/>
    </row>
    <row r="65" spans="1:20" ht="14" thickBot="1" x14ac:dyDescent="0.2">
      <c r="A65" s="117"/>
      <c r="B65" s="132"/>
      <c r="C65" s="318"/>
      <c r="D65" s="111"/>
      <c r="E65" s="95"/>
      <c r="F65" s="95"/>
      <c r="G65" s="95"/>
      <c r="H65" s="95"/>
      <c r="I65" s="95"/>
      <c r="J65" s="95"/>
      <c r="K65" s="129"/>
      <c r="P65" s="12"/>
      <c r="Q65" s="12"/>
    </row>
    <row r="66" spans="1:20" ht="16" customHeight="1" x14ac:dyDescent="0.15">
      <c r="A66" s="117"/>
      <c r="B66" s="341" t="s">
        <v>81</v>
      </c>
      <c r="C66" s="342"/>
      <c r="D66" s="95"/>
      <c r="E66" s="144" t="s">
        <v>82</v>
      </c>
      <c r="F66" s="145"/>
      <c r="G66" s="146" t="s">
        <v>83</v>
      </c>
      <c r="H66" s="146" t="s">
        <v>84</v>
      </c>
      <c r="I66" s="147" t="s">
        <v>85</v>
      </c>
      <c r="J66" s="95"/>
      <c r="K66" s="129"/>
      <c r="P66" s="12"/>
      <c r="Q66" s="12"/>
    </row>
    <row r="67" spans="1:20" ht="14" x14ac:dyDescent="0.15">
      <c r="A67" s="117"/>
      <c r="B67" s="343"/>
      <c r="C67" s="344"/>
      <c r="D67" s="95"/>
      <c r="E67" s="148"/>
      <c r="F67" s="149" t="str">
        <f t="shared" ref="F67:F72" si="4">C9</f>
        <v>Infants</v>
      </c>
      <c r="G67" s="150">
        <f>'Quality Center Profile'!H7</f>
        <v>28306.456473813429</v>
      </c>
      <c r="H67" s="150">
        <f>G67/12</f>
        <v>2358.8713728177859</v>
      </c>
      <c r="I67" s="395">
        <f>G67/52</f>
        <v>544.35493218871977</v>
      </c>
      <c r="J67" s="95"/>
      <c r="K67" s="129"/>
      <c r="L67" s="89">
        <f>489.08*52</f>
        <v>25432.16</v>
      </c>
      <c r="M67" s="89"/>
      <c r="N67" s="89"/>
      <c r="O67" s="89"/>
      <c r="P67" s="12"/>
      <c r="Q67" s="12"/>
    </row>
    <row r="68" spans="1:20" ht="14" x14ac:dyDescent="0.15">
      <c r="A68" s="117"/>
      <c r="B68" s="345" t="s">
        <v>86</v>
      </c>
      <c r="C68" s="346">
        <f>'Quality Center Profile'!A18</f>
        <v>14.6</v>
      </c>
      <c r="D68" s="95"/>
      <c r="E68" s="148"/>
      <c r="F68" s="149" t="str">
        <f t="shared" si="4"/>
        <v>Toddler I</v>
      </c>
      <c r="G68" s="150">
        <f>'Quality Center Profile'!H8</f>
        <v>21691.2161704801</v>
      </c>
      <c r="H68" s="150">
        <f>G68/12</f>
        <v>1807.6013475400084</v>
      </c>
      <c r="I68" s="395">
        <f>G68/52</f>
        <v>417.13877250923269</v>
      </c>
      <c r="J68" s="95"/>
      <c r="K68" s="129"/>
      <c r="L68" s="89"/>
      <c r="M68" s="485"/>
      <c r="N68" s="89"/>
      <c r="O68" s="89"/>
      <c r="P68" s="12"/>
      <c r="Q68" s="12"/>
    </row>
    <row r="69" spans="1:20" ht="14" x14ac:dyDescent="0.15">
      <c r="A69" s="117"/>
      <c r="B69" s="347" t="s">
        <v>87</v>
      </c>
      <c r="C69" s="348">
        <f>SUM('Quality Center Profile'!A24:A29)</f>
        <v>11.6</v>
      </c>
      <c r="D69" s="95"/>
      <c r="E69" s="148"/>
      <c r="F69" s="149" t="str">
        <f t="shared" si="4"/>
        <v>Toddler II</v>
      </c>
      <c r="G69" s="150">
        <f>'Quality Center Profile'!H9</f>
        <v>0</v>
      </c>
      <c r="H69" s="150">
        <f>G69/12</f>
        <v>0</v>
      </c>
      <c r="I69" s="395">
        <f>G69/52</f>
        <v>0</v>
      </c>
      <c r="J69" s="95"/>
      <c r="K69" s="129"/>
      <c r="L69" s="89"/>
      <c r="M69" s="485"/>
      <c r="N69" s="485"/>
      <c r="O69" s="485"/>
      <c r="P69" s="12"/>
      <c r="Q69" s="12"/>
    </row>
    <row r="70" spans="1:20" ht="14" x14ac:dyDescent="0.15">
      <c r="A70" s="117"/>
      <c r="B70" s="343"/>
      <c r="C70" s="344"/>
      <c r="D70" s="95"/>
      <c r="E70" s="148"/>
      <c r="F70" s="149" t="str">
        <f t="shared" si="4"/>
        <v>3-year-old</v>
      </c>
      <c r="G70" s="150">
        <f>'Quality Center Profile'!H10</f>
        <v>16399.023927813432</v>
      </c>
      <c r="H70" s="150">
        <f t="shared" ref="H70:H72" si="5">G70/12</f>
        <v>1366.5853273177861</v>
      </c>
      <c r="I70" s="395">
        <f t="shared" ref="I70:I72" si="6">G70/52</f>
        <v>315.36584476564292</v>
      </c>
      <c r="J70" s="95"/>
      <c r="K70" s="129"/>
      <c r="L70" s="89"/>
      <c r="M70" s="89"/>
      <c r="N70" s="89"/>
      <c r="O70" s="89"/>
      <c r="P70" s="12"/>
      <c r="Q70" s="12"/>
    </row>
    <row r="71" spans="1:20" ht="14" x14ac:dyDescent="0.15">
      <c r="A71" s="117"/>
      <c r="B71" s="349" t="s">
        <v>88</v>
      </c>
      <c r="C71" s="344"/>
      <c r="D71" s="95"/>
      <c r="E71" s="148"/>
      <c r="F71" s="149" t="str">
        <f t="shared" si="4"/>
        <v>4-year-old</v>
      </c>
      <c r="G71" s="150">
        <f>'Quality Center Profile'!H11</f>
        <v>15075.975867146766</v>
      </c>
      <c r="H71" s="150">
        <f t="shared" si="5"/>
        <v>1256.3313222622305</v>
      </c>
      <c r="I71" s="395">
        <f t="shared" si="6"/>
        <v>289.9226128297455</v>
      </c>
      <c r="J71" s="95"/>
      <c r="K71" s="129"/>
      <c r="L71" s="89"/>
      <c r="M71" s="89"/>
      <c r="N71" s="89"/>
      <c r="O71" s="89"/>
    </row>
    <row r="72" spans="1:20" ht="15" thickBot="1" x14ac:dyDescent="0.2">
      <c r="A72" s="117"/>
      <c r="B72" s="350" t="s">
        <v>89</v>
      </c>
      <c r="C72" s="351">
        <f>'Quality Center Profile'!D38</f>
        <v>736593.04800000007</v>
      </c>
      <c r="D72" s="95"/>
      <c r="E72" s="151"/>
      <c r="F72" s="325" t="str">
        <f t="shared" si="4"/>
        <v>School age</v>
      </c>
      <c r="G72" s="326">
        <f>'Quality Center Profile'!H12</f>
        <v>8617.4948117513486</v>
      </c>
      <c r="H72" s="326">
        <f t="shared" si="5"/>
        <v>718.12456764594572</v>
      </c>
      <c r="I72" s="396">
        <f t="shared" si="6"/>
        <v>165.72105407214133</v>
      </c>
      <c r="J72" s="95"/>
      <c r="K72" s="129"/>
      <c r="L72" s="89"/>
      <c r="M72" s="89"/>
      <c r="N72" s="89"/>
      <c r="O72" s="89"/>
    </row>
    <row r="73" spans="1:20" ht="15" thickBot="1" x14ac:dyDescent="0.2">
      <c r="A73" s="117"/>
      <c r="B73" s="350" t="s">
        <v>90</v>
      </c>
      <c r="C73" s="351">
        <f>SUM('Quality Center Profile'!D44:D46)</f>
        <v>158794.70273200001</v>
      </c>
      <c r="D73" s="95"/>
      <c r="E73" s="95"/>
      <c r="F73" s="95"/>
      <c r="G73" s="95"/>
      <c r="H73" s="95"/>
      <c r="I73" s="95"/>
      <c r="J73" s="95"/>
      <c r="K73" s="129"/>
      <c r="L73" s="89"/>
      <c r="M73" s="89"/>
      <c r="N73" s="89"/>
      <c r="O73" s="89"/>
      <c r="P73" s="89"/>
    </row>
    <row r="74" spans="1:20" ht="15" customHeight="1" x14ac:dyDescent="0.15">
      <c r="A74" s="117"/>
      <c r="B74" s="352" t="s">
        <v>91</v>
      </c>
      <c r="C74" s="353">
        <f>SUM(C72:C73)</f>
        <v>895387.7507320001</v>
      </c>
      <c r="D74" s="95"/>
      <c r="E74" s="379" t="s">
        <v>92</v>
      </c>
      <c r="F74" s="380"/>
      <c r="G74" s="378" t="s">
        <v>84</v>
      </c>
      <c r="H74" s="498" t="s">
        <v>93</v>
      </c>
      <c r="I74" s="499"/>
      <c r="J74" s="95"/>
      <c r="K74" s="129"/>
      <c r="L74" s="89"/>
      <c r="M74" s="89"/>
      <c r="N74" s="89" t="str">
        <f>H74</f>
        <v>Gap - subsidy and cost</v>
      </c>
      <c r="O74" s="89" t="str">
        <f>H82</f>
        <v>Gap - price and cost</v>
      </c>
      <c r="P74" s="89"/>
    </row>
    <row r="75" spans="1:20" ht="14" customHeight="1" x14ac:dyDescent="0.15">
      <c r="A75" s="117"/>
      <c r="B75" s="350" t="s">
        <v>94</v>
      </c>
      <c r="C75" s="354">
        <f>'Quality Center Profile'!D56</f>
        <v>0</v>
      </c>
      <c r="D75" s="95"/>
      <c r="E75" s="330"/>
      <c r="F75" s="327" t="str">
        <f t="shared" ref="F75:F80" si="7">F67</f>
        <v>Infants</v>
      </c>
      <c r="G75" s="482">
        <f>'Subsidy Rates'!D3</f>
        <v>1408.3333333333333</v>
      </c>
      <c r="H75" s="520">
        <f t="shared" ref="H75:H80" si="8">IF(H67&gt;0,G75-H67,0)</f>
        <v>-950.53803948445261</v>
      </c>
      <c r="I75" s="520"/>
      <c r="J75" s="95"/>
      <c r="K75" s="129"/>
      <c r="L75" s="89"/>
      <c r="M75" s="89" t="str">
        <f>F75</f>
        <v>Infants</v>
      </c>
      <c r="N75" s="486">
        <f>H75</f>
        <v>-950.53803948445261</v>
      </c>
      <c r="O75" s="486">
        <f>H83</f>
        <v>-733.87137281778587</v>
      </c>
      <c r="P75" s="89"/>
      <c r="T75" s="12"/>
    </row>
    <row r="76" spans="1:20" ht="14" x14ac:dyDescent="0.15">
      <c r="A76" s="117"/>
      <c r="B76" s="350" t="s">
        <v>96</v>
      </c>
      <c r="C76" s="354">
        <f>NP_EdProgram</f>
        <v>247570.21660000001</v>
      </c>
      <c r="D76" s="95"/>
      <c r="E76" s="480"/>
      <c r="F76" s="327" t="str">
        <f t="shared" si="7"/>
        <v>Toddler I</v>
      </c>
      <c r="G76" s="482">
        <f>'Subsidy Rates'!D4</f>
        <v>1256.6666666666667</v>
      </c>
      <c r="H76" s="520">
        <f t="shared" si="8"/>
        <v>-550.93468087334168</v>
      </c>
      <c r="I76" s="520"/>
      <c r="J76" s="95"/>
      <c r="K76" s="129"/>
      <c r="L76" s="89"/>
      <c r="M76" s="89" t="str">
        <f t="shared" ref="M76" si="9">F76</f>
        <v>Toddler I</v>
      </c>
      <c r="N76" s="486">
        <f>H76</f>
        <v>-550.93468087334168</v>
      </c>
      <c r="O76" s="486">
        <f t="shared" ref="O76" si="10">H84</f>
        <v>-317.80134754000824</v>
      </c>
      <c r="P76" s="89"/>
      <c r="T76" s="12"/>
    </row>
    <row r="77" spans="1:20" ht="14" x14ac:dyDescent="0.15">
      <c r="A77" s="117"/>
      <c r="B77" s="350" t="s">
        <v>98</v>
      </c>
      <c r="C77" s="354">
        <f>NP_Occupancy</f>
        <v>191525.52640000003</v>
      </c>
      <c r="D77" s="95"/>
      <c r="E77" s="328"/>
      <c r="F77" s="327" t="str">
        <f t="shared" si="7"/>
        <v>Toddler II</v>
      </c>
      <c r="G77" s="482">
        <f>'Subsidy Rates'!D4</f>
        <v>1256.6666666666667</v>
      </c>
      <c r="H77" s="520">
        <f t="shared" si="8"/>
        <v>0</v>
      </c>
      <c r="I77" s="520"/>
      <c r="J77" s="95"/>
      <c r="K77" s="129"/>
      <c r="L77" s="89"/>
      <c r="M77" s="89" t="str">
        <f>F78</f>
        <v>3-year-old</v>
      </c>
      <c r="N77" s="486">
        <f>H78</f>
        <v>-261.5853273177861</v>
      </c>
      <c r="O77" s="486">
        <f>H86</f>
        <v>-57.918660651119353</v>
      </c>
      <c r="P77" s="89"/>
    </row>
    <row r="78" spans="1:20" ht="14" x14ac:dyDescent="0.15">
      <c r="A78" s="117"/>
      <c r="B78" s="350" t="s">
        <v>99</v>
      </c>
      <c r="C78" s="354">
        <f>NP_MgtAdmin</f>
        <v>32254.591560000001</v>
      </c>
      <c r="D78" s="95"/>
      <c r="E78" s="328"/>
      <c r="F78" s="327" t="str">
        <f t="shared" si="7"/>
        <v>3-year-old</v>
      </c>
      <c r="G78" s="482">
        <f>'Subsidy Rates'!D5</f>
        <v>1105</v>
      </c>
      <c r="H78" s="520">
        <f t="shared" si="8"/>
        <v>-261.5853273177861</v>
      </c>
      <c r="I78" s="520"/>
      <c r="J78" s="95"/>
      <c r="K78" s="129"/>
      <c r="L78" s="89"/>
      <c r="M78" s="89" t="str">
        <f>F79</f>
        <v>4-year-old</v>
      </c>
      <c r="N78" s="486">
        <f>H79</f>
        <v>-151.33132226223051</v>
      </c>
      <c r="O78" s="486">
        <f>H87</f>
        <v>52.335344404436228</v>
      </c>
      <c r="P78" s="89"/>
    </row>
    <row r="79" spans="1:20" ht="14" x14ac:dyDescent="0.15">
      <c r="A79" s="117"/>
      <c r="B79" s="350" t="s">
        <v>100</v>
      </c>
      <c r="C79" s="354">
        <f>Reserve_Fund</f>
        <v>68336.904264600002</v>
      </c>
      <c r="D79" s="95"/>
      <c r="E79" s="328"/>
      <c r="F79" s="327" t="str">
        <f t="shared" si="7"/>
        <v>4-year-old</v>
      </c>
      <c r="G79" s="482">
        <f>'Subsidy Rates'!D5</f>
        <v>1105</v>
      </c>
      <c r="H79" s="520">
        <f t="shared" si="8"/>
        <v>-151.33132226223051</v>
      </c>
      <c r="I79" s="520"/>
      <c r="J79" s="95"/>
      <c r="K79" s="129"/>
      <c r="L79" s="89"/>
      <c r="M79" s="89" t="str">
        <f>F80</f>
        <v>School age</v>
      </c>
      <c r="N79" s="486">
        <f>H80</f>
        <v>105.20876568738765</v>
      </c>
      <c r="O79" s="486">
        <f>H88</f>
        <v>17.458765687387654</v>
      </c>
      <c r="P79" s="89"/>
    </row>
    <row r="80" spans="1:20" ht="15" thickBot="1" x14ac:dyDescent="0.2">
      <c r="A80" s="117"/>
      <c r="B80" s="352" t="s">
        <v>101</v>
      </c>
      <c r="C80" s="353">
        <f>SUM(C75:C79)</f>
        <v>539687.2388246</v>
      </c>
      <c r="D80" s="95"/>
      <c r="E80" s="329"/>
      <c r="F80" s="339" t="str">
        <f t="shared" si="7"/>
        <v>School age</v>
      </c>
      <c r="G80" s="483">
        <f>'Subsidy Rates'!D6</f>
        <v>823.33333333333337</v>
      </c>
      <c r="H80" s="515">
        <f t="shared" si="8"/>
        <v>105.20876568738765</v>
      </c>
      <c r="I80" s="515"/>
      <c r="J80" s="95"/>
      <c r="K80" s="129"/>
      <c r="L80" s="89"/>
      <c r="M80" s="89"/>
      <c r="N80" s="89"/>
      <c r="O80" s="89"/>
      <c r="P80" s="89"/>
    </row>
    <row r="81" spans="1:11" ht="15" thickBot="1" x14ac:dyDescent="0.2">
      <c r="A81" s="117"/>
      <c r="B81" s="355" t="s">
        <v>102</v>
      </c>
      <c r="C81" s="356">
        <f>SUM(C74,C80)</f>
        <v>1435074.9895566001</v>
      </c>
      <c r="D81" s="95"/>
      <c r="E81" s="95"/>
      <c r="F81" s="95"/>
      <c r="G81" s="95"/>
      <c r="H81" s="95"/>
      <c r="I81" s="95"/>
      <c r="J81" s="95"/>
      <c r="K81" s="129"/>
    </row>
    <row r="82" spans="1:11" ht="15" customHeight="1" x14ac:dyDescent="0.15">
      <c r="A82" s="117"/>
      <c r="B82" s="343"/>
      <c r="C82" s="344"/>
      <c r="D82" s="95"/>
      <c r="E82" s="521" t="s">
        <v>103</v>
      </c>
      <c r="F82" s="522"/>
      <c r="G82" s="331" t="s">
        <v>84</v>
      </c>
      <c r="H82" s="518" t="s">
        <v>104</v>
      </c>
      <c r="I82" s="519"/>
      <c r="J82" s="95"/>
      <c r="K82" s="129"/>
    </row>
    <row r="83" spans="1:11" ht="14" x14ac:dyDescent="0.15">
      <c r="A83" s="95"/>
      <c r="B83" s="349" t="s">
        <v>105</v>
      </c>
      <c r="C83" s="344"/>
      <c r="D83" s="95"/>
      <c r="E83" s="332" t="s">
        <v>95</v>
      </c>
      <c r="F83" s="333" t="str">
        <f t="shared" ref="F83:F88" si="11">F75</f>
        <v>Infants</v>
      </c>
      <c r="G83" s="334">
        <f>IF(G67&gt;0,IF(E$84="New Castle",'Tuition Rates'!D3,IF(E$84="Kent",'Tuition Rates'!D11,IF(E$84="Sussex",'Tuition Rates'!D19,))),0)</f>
        <v>1625</v>
      </c>
      <c r="H83" s="516">
        <f t="shared" ref="H83:H88" si="12">IF(G83&gt;0,G83-H67,0)</f>
        <v>-733.87137281778587</v>
      </c>
      <c r="I83" s="517"/>
      <c r="J83" s="95"/>
      <c r="K83" s="129"/>
    </row>
    <row r="84" spans="1:11" ht="14" customHeight="1" x14ac:dyDescent="0.15">
      <c r="A84" s="117"/>
      <c r="B84" s="343" t="s">
        <v>106</v>
      </c>
      <c r="C84" s="351">
        <f>'Quality Center Profile'!D72</f>
        <v>53370.2</v>
      </c>
      <c r="D84" s="95"/>
      <c r="E84" s="496" t="s">
        <v>97</v>
      </c>
      <c r="F84" s="333" t="str">
        <f t="shared" si="11"/>
        <v>Toddler I</v>
      </c>
      <c r="G84" s="334">
        <f>IF(G68&gt;0,IF(E$84="New Castle",'Tuition Rates'!D4,IF(E$84="Kent",'Tuition Rates'!D12,IF(E$84="Sussex",'Tuition Rates'!D20,))),0)</f>
        <v>1489.8000000000002</v>
      </c>
      <c r="H84" s="516">
        <f t="shared" si="12"/>
        <v>-317.80134754000824</v>
      </c>
      <c r="I84" s="517"/>
      <c r="J84" s="95"/>
      <c r="K84" s="129"/>
    </row>
    <row r="85" spans="1:11" ht="14" x14ac:dyDescent="0.15">
      <c r="A85" s="117"/>
      <c r="B85" s="343" t="s">
        <v>107</v>
      </c>
      <c r="C85" s="351">
        <f>SUM('Quality Center Profile'!D77:D84)</f>
        <v>0</v>
      </c>
      <c r="D85" s="95"/>
      <c r="E85" s="335"/>
      <c r="F85" s="333" t="str">
        <f t="shared" si="11"/>
        <v>Toddler II</v>
      </c>
      <c r="G85" s="334">
        <f>IF(G69&gt;0,IF(E$84="New Castle",'Tuition Rates'!D5,IF(E$84="Kent",'Tuition Rates'!D13,IF(E$84="Sussex",'Tuition Rates'!D21,))),0)</f>
        <v>0</v>
      </c>
      <c r="H85" s="516">
        <f t="shared" si="12"/>
        <v>0</v>
      </c>
      <c r="I85" s="517"/>
      <c r="J85" s="95"/>
      <c r="K85" s="129"/>
    </row>
    <row r="86" spans="1:11" ht="14" x14ac:dyDescent="0.15">
      <c r="A86" s="117"/>
      <c r="B86" s="343" t="s">
        <v>108</v>
      </c>
      <c r="C86" s="351">
        <f>SUM('Quality Center Profile'!D73:D76)</f>
        <v>1093479.3999999999</v>
      </c>
      <c r="D86" s="95"/>
      <c r="E86" s="335"/>
      <c r="F86" s="333" t="str">
        <f t="shared" si="11"/>
        <v>3-year-old</v>
      </c>
      <c r="G86" s="334">
        <f>IF(G70&gt;0,IF(E$84="New Castle",'Tuition Rates'!D5,IF(E$84="Kent",'Tuition Rates'!D13,IF(E$84="Sussex",'Tuition Rates'!D21,))),0)</f>
        <v>1308.6666666666667</v>
      </c>
      <c r="H86" s="516">
        <f t="shared" si="12"/>
        <v>-57.918660651119353</v>
      </c>
      <c r="I86" s="517"/>
      <c r="J86" s="95"/>
      <c r="K86" s="129"/>
    </row>
    <row r="87" spans="1:11" ht="14" x14ac:dyDescent="0.15">
      <c r="A87" s="117"/>
      <c r="B87" s="343" t="s">
        <v>109</v>
      </c>
      <c r="C87" s="351">
        <f>'Quality Center Profile'!D85</f>
        <v>0</v>
      </c>
      <c r="D87" s="95"/>
      <c r="E87" s="335"/>
      <c r="F87" s="333" t="str">
        <f t="shared" si="11"/>
        <v>4-year-old</v>
      </c>
      <c r="G87" s="334">
        <f>IF(G71&gt;0,IF(E$84="New Castle",'Tuition Rates'!D5,IF(E$84="Kent",'Tuition Rates'!D13,IF(E$84="Sussex",'Tuition Rates'!D21,))),0)</f>
        <v>1308.6666666666667</v>
      </c>
      <c r="H87" s="516">
        <f t="shared" si="12"/>
        <v>52.335344404436228</v>
      </c>
      <c r="I87" s="517"/>
      <c r="J87" s="95"/>
      <c r="K87" s="129"/>
    </row>
    <row r="88" spans="1:11" ht="17" customHeight="1" thickBot="1" x14ac:dyDescent="0.2">
      <c r="A88" s="117"/>
      <c r="B88" s="352" t="s">
        <v>110</v>
      </c>
      <c r="C88" s="368">
        <f>SUM(C84:C87)</f>
        <v>1146849.5999999999</v>
      </c>
      <c r="D88" s="95"/>
      <c r="E88" s="336"/>
      <c r="F88" s="337" t="str">
        <f t="shared" si="11"/>
        <v>School age</v>
      </c>
      <c r="G88" s="338">
        <f>IF(G72&gt;0,IF(E$84="New Castle",'Tuition Rates'!D6,IF(E$84="Kent",'Tuition Rates'!D14,IF(E$84="Sussex",'Tuition Rates'!D22,))),0)</f>
        <v>735.58333333333337</v>
      </c>
      <c r="H88" s="529">
        <f t="shared" si="12"/>
        <v>17.458765687387654</v>
      </c>
      <c r="I88" s="530"/>
      <c r="J88" s="95"/>
      <c r="K88" s="129"/>
    </row>
    <row r="89" spans="1:11" ht="16" customHeight="1" x14ac:dyDescent="0.15">
      <c r="A89" s="117"/>
      <c r="B89" s="527" t="s">
        <v>111</v>
      </c>
      <c r="C89" s="369"/>
      <c r="D89" s="95"/>
      <c r="E89" s="95"/>
      <c r="F89" s="95"/>
      <c r="G89" s="95"/>
      <c r="H89" s="95"/>
      <c r="I89" s="95"/>
      <c r="J89" s="95"/>
      <c r="K89" s="129"/>
    </row>
    <row r="90" spans="1:11" ht="19" customHeight="1" x14ac:dyDescent="0.15">
      <c r="A90" s="117"/>
      <c r="B90" s="528"/>
      <c r="C90" s="357">
        <f>SUM('Quality Center Profile'!D89:D90)</f>
        <v>201272.10480000006</v>
      </c>
      <c r="D90" s="95"/>
      <c r="E90" s="95"/>
      <c r="F90" s="95"/>
      <c r="G90" s="95"/>
      <c r="H90" s="95"/>
      <c r="I90" s="95"/>
      <c r="J90" s="95"/>
      <c r="K90" s="129"/>
    </row>
    <row r="91" spans="1:11" ht="13" customHeight="1" x14ac:dyDescent="0.15">
      <c r="A91" s="95"/>
      <c r="B91" s="343"/>
      <c r="C91" s="344"/>
      <c r="D91" s="95"/>
      <c r="E91" s="95"/>
      <c r="F91" s="95"/>
      <c r="G91" s="95"/>
      <c r="H91" s="95"/>
      <c r="I91" s="95"/>
      <c r="J91" s="95"/>
      <c r="K91" s="129"/>
    </row>
    <row r="92" spans="1:11" ht="13" customHeight="1" x14ac:dyDescent="0.15">
      <c r="A92" s="95"/>
      <c r="B92" s="523" t="str">
        <f>'Quality Center Profile'!B92</f>
        <v>Annual Revenue less Expenses profit/(loss)</v>
      </c>
      <c r="C92" s="525">
        <f>'Quality Center Profile'!D92</f>
        <v>-489497.49435659999</v>
      </c>
      <c r="D92" s="95"/>
      <c r="E92" s="95"/>
      <c r="F92" s="95"/>
      <c r="G92" s="95"/>
      <c r="H92" s="95"/>
      <c r="I92" s="95"/>
      <c r="J92" s="95"/>
      <c r="K92" s="129"/>
    </row>
    <row r="93" spans="1:11" ht="21" customHeight="1" x14ac:dyDescent="0.15">
      <c r="A93" s="95"/>
      <c r="B93" s="524"/>
      <c r="C93" s="526"/>
      <c r="D93" s="340"/>
      <c r="E93" s="95"/>
      <c r="F93" s="95"/>
      <c r="G93" s="95"/>
      <c r="H93" s="95"/>
      <c r="I93" s="95"/>
      <c r="J93" s="95"/>
      <c r="K93" s="129"/>
    </row>
    <row r="94" spans="1:11" ht="15" thickBot="1" x14ac:dyDescent="0.2">
      <c r="A94" s="95"/>
      <c r="B94" s="358" t="s">
        <v>112</v>
      </c>
      <c r="C94" s="359">
        <f>'Quality Center Profile'!E92</f>
        <v>-0.34109541168147711</v>
      </c>
      <c r="D94" s="340"/>
      <c r="E94" s="95"/>
      <c r="F94" s="95"/>
      <c r="G94" s="95"/>
      <c r="H94" s="95"/>
      <c r="I94" s="95"/>
      <c r="J94" s="95"/>
      <c r="K94" s="129"/>
    </row>
    <row r="95" spans="1:11" x14ac:dyDescent="0.15">
      <c r="A95" s="95"/>
      <c r="B95" s="95"/>
      <c r="C95" s="95"/>
      <c r="D95" s="95"/>
      <c r="E95" s="95"/>
      <c r="F95" s="95"/>
      <c r="G95" s="95"/>
      <c r="H95" s="95"/>
      <c r="I95" s="95"/>
      <c r="J95" s="95"/>
      <c r="K95" s="129"/>
    </row>
    <row r="96" spans="1:11" ht="22" customHeight="1" x14ac:dyDescent="0.15">
      <c r="A96" s="95"/>
      <c r="B96" s="95"/>
      <c r="C96" s="95"/>
      <c r="D96" s="95"/>
      <c r="E96" s="95"/>
      <c r="F96" s="95"/>
      <c r="G96" s="95"/>
      <c r="H96" s="95"/>
      <c r="I96" s="95"/>
      <c r="J96" s="95"/>
      <c r="K96" s="129"/>
    </row>
    <row r="97" spans="1:11" x14ac:dyDescent="0.15">
      <c r="A97" s="95"/>
      <c r="B97" s="95"/>
      <c r="C97" s="95"/>
      <c r="D97" s="95"/>
      <c r="E97" s="95"/>
      <c r="F97" s="95"/>
      <c r="G97" s="95"/>
      <c r="H97" s="95"/>
      <c r="I97" s="95"/>
      <c r="J97" s="95"/>
      <c r="K97" s="129"/>
    </row>
    <row r="98" spans="1:11" x14ac:dyDescent="0.15">
      <c r="A98" s="95"/>
      <c r="B98" s="95"/>
      <c r="C98" s="95"/>
      <c r="D98" s="95"/>
      <c r="E98" s="95"/>
      <c r="F98" s="95"/>
      <c r="G98" s="95"/>
      <c r="H98" s="95"/>
      <c r="I98" s="95"/>
      <c r="J98" s="95"/>
      <c r="K98" s="129"/>
    </row>
    <row r="99" spans="1:11" x14ac:dyDescent="0.15">
      <c r="A99" s="95"/>
      <c r="B99" s="95"/>
      <c r="C99" s="95"/>
      <c r="D99" s="95"/>
      <c r="E99" s="95"/>
      <c r="F99" s="95"/>
      <c r="G99" s="95"/>
      <c r="H99" s="95"/>
      <c r="I99" s="95"/>
      <c r="J99" s="95"/>
      <c r="K99" s="129"/>
    </row>
    <row r="100" spans="1:11" x14ac:dyDescent="0.15">
      <c r="A100" s="95"/>
      <c r="B100" s="95"/>
      <c r="C100" s="95"/>
      <c r="D100" s="95"/>
      <c r="E100" s="95"/>
      <c r="F100" s="95"/>
      <c r="G100" s="95"/>
      <c r="H100" s="95"/>
      <c r="I100" s="95"/>
      <c r="J100" s="95"/>
      <c r="K100" s="129"/>
    </row>
    <row r="101" spans="1:11" x14ac:dyDescent="0.15">
      <c r="A101" s="95"/>
      <c r="C101" s="95"/>
      <c r="D101" s="95"/>
      <c r="E101" s="95"/>
      <c r="F101" s="95"/>
      <c r="G101" s="95"/>
      <c r="H101" s="95"/>
      <c r="I101" s="95"/>
      <c r="J101" s="95"/>
      <c r="K101" s="129"/>
    </row>
    <row r="102" spans="1:11" x14ac:dyDescent="0.15">
      <c r="A102" s="95"/>
      <c r="B102" s="132"/>
      <c r="C102" s="95"/>
      <c r="D102" s="95"/>
      <c r="E102" s="95"/>
      <c r="F102" s="95"/>
      <c r="G102" s="95"/>
      <c r="H102" s="95"/>
      <c r="I102" s="95"/>
      <c r="J102" s="95"/>
      <c r="K102" s="129"/>
    </row>
    <row r="103" spans="1:11" x14ac:dyDescent="0.15">
      <c r="A103" s="95"/>
      <c r="C103" s="95"/>
      <c r="D103" s="95"/>
      <c r="E103" s="95"/>
      <c r="F103" s="95"/>
      <c r="G103" s="95"/>
      <c r="H103" s="95"/>
      <c r="I103" s="95"/>
      <c r="J103" s="95"/>
      <c r="K103" s="129"/>
    </row>
    <row r="104" spans="1:11" ht="14" thickBot="1" x14ac:dyDescent="0.2">
      <c r="A104" s="381" t="s">
        <v>401</v>
      </c>
      <c r="B104" s="138"/>
      <c r="C104" s="138"/>
      <c r="D104" s="138"/>
      <c r="E104" s="138"/>
      <c r="F104" s="138"/>
      <c r="G104" s="138"/>
      <c r="H104" s="138"/>
      <c r="I104" s="138"/>
      <c r="J104" s="138"/>
      <c r="K104" s="153"/>
    </row>
  </sheetData>
  <sheetProtection algorithmName="SHA-512" hashValue="Dlmnz/fChRREz2icvqBs43F+B0X0Usnh/XztooY5pQ/anSOXjP5vL3PDk6QkylkEyyjYByPu+SmxQ49TJ4/u7A==" saltValue="mFrCyPN6V6W52YDG0OZ0Xg==" spinCount="100000" sheet="1" objects="1" scenarios="1"/>
  <mergeCells count="32">
    <mergeCell ref="E82:F82"/>
    <mergeCell ref="B92:B93"/>
    <mergeCell ref="C92:C93"/>
    <mergeCell ref="B89:B90"/>
    <mergeCell ref="H88:I88"/>
    <mergeCell ref="H83:I83"/>
    <mergeCell ref="H75:I75"/>
    <mergeCell ref="H76:I76"/>
    <mergeCell ref="H77:I77"/>
    <mergeCell ref="H78:I78"/>
    <mergeCell ref="H79:I79"/>
    <mergeCell ref="H80:I80"/>
    <mergeCell ref="H84:I84"/>
    <mergeCell ref="H85:I85"/>
    <mergeCell ref="H86:I86"/>
    <mergeCell ref="H87:I87"/>
    <mergeCell ref="H82:I82"/>
    <mergeCell ref="H74:I74"/>
    <mergeCell ref="B32:C32"/>
    <mergeCell ref="B31:C31"/>
    <mergeCell ref="D28:F29"/>
    <mergeCell ref="D34:E34"/>
    <mergeCell ref="D35:E35"/>
    <mergeCell ref="D36:E36"/>
    <mergeCell ref="D37:E37"/>
    <mergeCell ref="D31:E31"/>
    <mergeCell ref="D32:E32"/>
    <mergeCell ref="D33:E33"/>
    <mergeCell ref="B38:C38"/>
    <mergeCell ref="D38:E38"/>
    <mergeCell ref="B35:C35"/>
    <mergeCell ref="B37:C37"/>
  </mergeCells>
  <phoneticPr fontId="9" type="noConversion"/>
  <conditionalFormatting sqref="C92 C94">
    <cfRule type="cellIs" dxfId="1" priority="1" operator="lessThan">
      <formula>0</formula>
    </cfRule>
  </conditionalFormatting>
  <dataValidations count="12">
    <dataValidation type="list" allowBlank="1" showInputMessage="1" showErrorMessage="1" sqref="D41" xr:uid="{C2CF9409-A270-DB47-8547-2D1B6985602C}">
      <formula1>$I$41:$J$41</formula1>
    </dataValidation>
    <dataValidation type="whole" allowBlank="1" showInputMessage="1" showErrorMessage="1" errorTitle="Enter a whole number" promptTitle="Enter number of days" prompt="Enter number of days of paid sick leave per year per staff member_x000a_" sqref="D42" xr:uid="{18AE733C-7F46-9946-ACAB-7914FD730588}">
      <formula1>0</formula1>
      <formula2>100</formula2>
    </dataValidation>
    <dataValidation allowBlank="1" showInputMessage="1" showErrorMessage="1" promptTitle="Enter number of days " prompt="Enter number of days paid leave offered to staff per year (not including holidays where program is closed)" sqref="D43" xr:uid="{38DE5AB1-75D8-9E49-87E4-584A9244F140}"/>
    <dataValidation type="list" allowBlank="1" showInputMessage="1" showErrorMessage="1" sqref="C28" xr:uid="{7B0980EA-FE60-944F-B9FF-460FE27F8A1E}">
      <formula1>$G$28:$G$29</formula1>
    </dataValidation>
    <dataValidation type="list" allowBlank="1" showInputMessage="1" showErrorMessage="1" sqref="D37" xr:uid="{4546F027-E7F2-FB4B-9180-EFBD45381562}">
      <formula1>$L$37:$M$37</formula1>
    </dataValidation>
    <dataValidation type="list" allowBlank="1" showInputMessage="1" showErrorMessage="1" sqref="D32:E32" xr:uid="{2F17856C-5E03-1941-B286-7993220FDFCE}">
      <formula1>$L$32:$O$32</formula1>
    </dataValidation>
    <dataValidation type="list" allowBlank="1" showInputMessage="1" showErrorMessage="1" sqref="D35" xr:uid="{0C9E6599-DA0C-4846-9455-64239B1AFFE5}">
      <formula1>$L$35:$O$35</formula1>
    </dataValidation>
    <dataValidation type="list" allowBlank="1" showInputMessage="1" showErrorMessage="1" sqref="D36" xr:uid="{F8F75227-D2FF-AF40-BC7D-07B22ACB7F87}">
      <formula1>$L$36:$N$36</formula1>
    </dataValidation>
    <dataValidation type="list" allowBlank="1" showInputMessage="1" showErrorMessage="1" sqref="D34" xr:uid="{638FFB8A-24D8-B64F-B6FE-FA6B4EBB2677}">
      <formula1>$L$34:$N$34</formula1>
    </dataValidation>
    <dataValidation type="list" allowBlank="1" showInputMessage="1" showErrorMessage="1" sqref="D33" xr:uid="{81912D5D-CA8A-8049-B92D-5095DD162DE6}">
      <formula1>$L$33:$O$33</formula1>
    </dataValidation>
    <dataValidation type="list" allowBlank="1" showInputMessage="1" showErrorMessage="1" sqref="D10" xr:uid="{1FA70D36-60E3-0640-98DF-DB6B62683C56}">
      <formula1>$H$2:$I$2</formula1>
    </dataValidation>
    <dataValidation type="list" allowBlank="1" showInputMessage="1" showErrorMessage="1" sqref="D9 D11:D14" xr:uid="{AB6AB52C-2F60-F64A-B783-DE2C8E4D9B66}">
      <formula1>$H$1:$J$1</formula1>
    </dataValidation>
  </dataValidations>
  <pageMargins left="0.25" right="0.25" top="0.25" bottom="0.25" header="0.05" footer="0.05"/>
  <pageSetup scale="75" orientation="landscape" horizontalDpi="4294967293" r:id="rId1"/>
  <headerFooter alignWithMargins="0">
    <oddFooter>&amp;CDRAFT - Not for Distribution</oddFooter>
  </headerFooter>
  <rowBreaks count="1" manualBreakCount="1">
    <brk id="48" max="10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CEB4CD-4A9B-954A-A64B-EB598A04B09C}">
          <x14:formula1>
            <xm:f>'Quality Center Profile'!$J$68:$L$68</xm:f>
          </x14:formula1>
          <xm:sqref>E84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-0.499984740745262"/>
  </sheetPr>
  <dimension ref="A1:Z92"/>
  <sheetViews>
    <sheetView workbookViewId="0">
      <selection activeCell="A20" sqref="A20"/>
    </sheetView>
    <sheetView workbookViewId="1"/>
  </sheetViews>
  <sheetFormatPr baseColWidth="10" defaultColWidth="8.83203125" defaultRowHeight="13" x14ac:dyDescent="0.15"/>
  <cols>
    <col min="1" max="1" width="4.5" style="19" customWidth="1"/>
    <col min="2" max="2" width="44" style="19" customWidth="1"/>
    <col min="3" max="3" width="12.33203125" style="19" customWidth="1"/>
    <col min="4" max="4" width="12.1640625" style="19" customWidth="1"/>
    <col min="5" max="5" width="11" style="19" customWidth="1"/>
    <col min="6" max="6" width="12" style="19" customWidth="1"/>
    <col min="7" max="7" width="11.83203125" style="19" customWidth="1"/>
    <col min="8" max="8" width="13.1640625" style="19" customWidth="1"/>
    <col min="9" max="9" width="14.83203125" style="19" customWidth="1"/>
    <col min="10" max="10" width="9.83203125" style="19" customWidth="1"/>
    <col min="11" max="11" width="15.6640625" style="19" customWidth="1"/>
    <col min="12" max="14" width="10.5" style="19" customWidth="1"/>
    <col min="15" max="15" width="10" style="19" customWidth="1"/>
    <col min="16" max="16" width="9.5" style="19" customWidth="1"/>
    <col min="17" max="17" width="12.33203125" style="19" customWidth="1"/>
    <col min="18" max="18" width="13.6640625" style="19" customWidth="1"/>
    <col min="19" max="19" width="12.33203125" style="19" customWidth="1"/>
    <col min="20" max="20" width="11.5" style="19" customWidth="1"/>
    <col min="21" max="21" width="11.6640625" style="19" bestFit="1" customWidth="1"/>
    <col min="22" max="22" width="11.1640625" style="19" bestFit="1" customWidth="1"/>
    <col min="23" max="23" width="8.83203125" style="19"/>
    <col min="24" max="26" width="0" style="19" hidden="1" customWidth="1"/>
    <col min="27" max="16384" width="8.83203125" style="19"/>
  </cols>
  <sheetData>
    <row r="1" spans="1:26" ht="16.5" customHeight="1" x14ac:dyDescent="0.15">
      <c r="A1" s="1" t="s">
        <v>113</v>
      </c>
      <c r="B1" s="200"/>
      <c r="C1" s="1"/>
      <c r="D1" s="1"/>
      <c r="E1" s="1"/>
      <c r="F1" s="1"/>
      <c r="G1" s="1"/>
    </row>
    <row r="2" spans="1:26" x14ac:dyDescent="0.15">
      <c r="A2" s="2"/>
      <c r="B2" s="2" t="s">
        <v>114</v>
      </c>
      <c r="E2" s="201"/>
      <c r="F2" s="19" t="s">
        <v>115</v>
      </c>
    </row>
    <row r="3" spans="1:26" x14ac:dyDescent="0.15">
      <c r="A3" s="2"/>
      <c r="B3" s="2" t="s">
        <v>116</v>
      </c>
      <c r="E3" s="202"/>
      <c r="F3" s="19" t="s">
        <v>117</v>
      </c>
    </row>
    <row r="4" spans="1:26" x14ac:dyDescent="0.15">
      <c r="A4" s="15" t="s">
        <v>118</v>
      </c>
      <c r="B4" s="203"/>
      <c r="C4" s="203"/>
      <c r="D4" s="203"/>
      <c r="E4" s="203"/>
      <c r="F4" s="203"/>
      <c r="G4" s="203"/>
      <c r="H4" s="204"/>
      <c r="I4" s="204"/>
    </row>
    <row r="5" spans="1:26" x14ac:dyDescent="0.15">
      <c r="L5" s="91"/>
      <c r="M5" s="91"/>
      <c r="N5" s="91"/>
      <c r="O5" s="91"/>
      <c r="P5" s="91"/>
      <c r="Q5" s="2"/>
    </row>
    <row r="6" spans="1:26" ht="25.5" customHeight="1" x14ac:dyDescent="0.15">
      <c r="B6" s="1" t="s">
        <v>30</v>
      </c>
      <c r="C6" s="19" t="s">
        <v>119</v>
      </c>
      <c r="D6" s="22" t="s">
        <v>23</v>
      </c>
      <c r="E6" s="19" t="s">
        <v>120</v>
      </c>
      <c r="F6" s="19" t="s">
        <v>121</v>
      </c>
      <c r="H6" s="66" t="s">
        <v>122</v>
      </c>
      <c r="I6" s="1" t="s">
        <v>84</v>
      </c>
      <c r="J6" s="23"/>
      <c r="K6" s="23" t="s">
        <v>123</v>
      </c>
      <c r="L6" s="180" t="s">
        <v>124</v>
      </c>
      <c r="M6" s="180" t="s">
        <v>125</v>
      </c>
      <c r="N6" s="180" t="s">
        <v>90</v>
      </c>
      <c r="O6" s="180" t="s">
        <v>126</v>
      </c>
      <c r="P6" s="180" t="s">
        <v>127</v>
      </c>
      <c r="Q6" s="180" t="s">
        <v>128</v>
      </c>
      <c r="R6" s="180" t="s">
        <v>129</v>
      </c>
      <c r="S6" s="180" t="s">
        <v>130</v>
      </c>
      <c r="T6" s="180" t="s">
        <v>131</v>
      </c>
      <c r="U6" s="180" t="s">
        <v>132</v>
      </c>
      <c r="V6" s="180" t="s">
        <v>133</v>
      </c>
    </row>
    <row r="7" spans="1:26" ht="14" customHeight="1" x14ac:dyDescent="0.15">
      <c r="A7" s="19">
        <f>C7*F7</f>
        <v>8</v>
      </c>
      <c r="B7" s="19" t="str">
        <f>'VariablesINPUT-CTR'!C9</f>
        <v>Infants</v>
      </c>
      <c r="C7" s="205">
        <f>'VariablesINPUT-CTR'!F9</f>
        <v>8</v>
      </c>
      <c r="D7" s="53">
        <f>'VariablesINPUT-CTR'!E9</f>
        <v>4</v>
      </c>
      <c r="E7" s="206">
        <f>SUM(A7/D7)</f>
        <v>2</v>
      </c>
      <c r="F7" s="207">
        <f>'VariablesINPUT-CTR'!B9</f>
        <v>1</v>
      </c>
      <c r="G7" s="19" t="str">
        <f>B7</f>
        <v>Infants</v>
      </c>
      <c r="H7" s="208">
        <f>IF(F7&gt;0,V7,0)</f>
        <v>28306.456473813429</v>
      </c>
      <c r="I7" s="208">
        <f>H7/12</f>
        <v>2358.8713728177859</v>
      </c>
      <c r="J7" s="177"/>
      <c r="K7" s="177">
        <f t="shared" ref="K7:K11" si="0">Admin_Staff/TotalChildren*A7</f>
        <v>13853.412765957448</v>
      </c>
      <c r="L7" s="178">
        <f>SUM(D$24:D$25)/SUM(F$7:F$11)*F7</f>
        <v>91972.800000000003</v>
      </c>
      <c r="M7" s="178">
        <f>SUM(Subs+Floater_Assts+D29)/(TotalClassrooms-F$12)*F7</f>
        <v>28487.862000000001</v>
      </c>
      <c r="N7" s="178">
        <f>SUM(D$44:D$46)/A$13*A7</f>
        <v>13514.442785702127</v>
      </c>
      <c r="O7" s="179">
        <f t="shared" ref="O7:O12" si="1">SUM(NP_Occupancy/TotalClassrooms)*F7</f>
        <v>38305.105280000003</v>
      </c>
      <c r="P7" s="179">
        <f>SUM(NP_EdProgram+NP_MgtAdmin+Reserve_Fund+D$56)/TotalChildren*A7</f>
        <v>29630.784036136174</v>
      </c>
      <c r="R7" s="23">
        <f>SUM(K7:Q7)</f>
        <v>215764.40686779574</v>
      </c>
      <c r="S7" s="23">
        <f>R7/A7</f>
        <v>26970.550858474468</v>
      </c>
      <c r="T7" s="169">
        <f>SUM(R$12-U$12)/SUM(A$7:A$11)*A7</f>
        <v>10687.244922711703</v>
      </c>
      <c r="U7" s="23">
        <f>SUM(R7,T7)</f>
        <v>226451.65179050743</v>
      </c>
      <c r="V7" s="306">
        <f>U7/A7</f>
        <v>28306.456473813429</v>
      </c>
      <c r="X7" s="19">
        <v>3723.7747116622322</v>
      </c>
      <c r="Y7" s="19">
        <v>131672.44150719413</v>
      </c>
      <c r="Z7" s="19">
        <v>16459.055188399267</v>
      </c>
    </row>
    <row r="8" spans="1:26" ht="14" customHeight="1" x14ac:dyDescent="0.15">
      <c r="A8" s="19">
        <f t="shared" ref="A8:A12" si="2">C8*F8</f>
        <v>12</v>
      </c>
      <c r="B8" s="19" t="str">
        <f>'VariablesINPUT-CTR'!C10</f>
        <v>Toddler I</v>
      </c>
      <c r="C8" s="205">
        <f>'VariablesINPUT-CTR'!F10</f>
        <v>12</v>
      </c>
      <c r="D8" s="53">
        <f>'VariablesINPUT-CTR'!E10</f>
        <v>6</v>
      </c>
      <c r="E8" s="206">
        <f t="shared" ref="E8:E12" si="3">SUM(A8/D8)</f>
        <v>2</v>
      </c>
      <c r="F8" s="207">
        <f>'VariablesINPUT-CTR'!B10</f>
        <v>1</v>
      </c>
      <c r="G8" s="19" t="str">
        <f t="shared" ref="G8:G12" si="4">B8</f>
        <v>Toddler I</v>
      </c>
      <c r="H8" s="208">
        <f t="shared" ref="H8:H12" si="5">IF(F8&gt;0,V8,0)</f>
        <v>21691.2161704801</v>
      </c>
      <c r="I8" s="208">
        <f t="shared" ref="I8:I12" si="6">H8/12</f>
        <v>1807.6013475400084</v>
      </c>
      <c r="J8" s="177"/>
      <c r="K8" s="177">
        <f t="shared" si="0"/>
        <v>20780.119148936174</v>
      </c>
      <c r="L8" s="178">
        <f t="shared" ref="L8:L11" si="7">SUM(D$24:D$25)/SUM(F$7:F$11)*F8</f>
        <v>91972.800000000003</v>
      </c>
      <c r="M8" s="178">
        <f>SUM(Subs+Floater_Assts+D29)/(TotalClassrooms-F$12)*F8</f>
        <v>28487.862000000001</v>
      </c>
      <c r="N8" s="178">
        <f t="shared" ref="N8:N12" si="8">SUM(D$44:D$46)/A$13*A8</f>
        <v>20271.66417855319</v>
      </c>
      <c r="O8" s="179">
        <f t="shared" si="1"/>
        <v>38305.105280000003</v>
      </c>
      <c r="P8" s="179">
        <f>SUM(NP_EdProgram+NP_MgtAdmin+Reserve_Fund+D$56)/TotalChildren*A8</f>
        <v>44446.176054204261</v>
      </c>
      <c r="R8" s="23">
        <f t="shared" ref="R8:R13" si="9">SUM(K8:Q8)</f>
        <v>244263.72666169362</v>
      </c>
      <c r="S8" s="23">
        <f t="shared" ref="S8:S11" si="10">R8/A8</f>
        <v>20355.310555141135</v>
      </c>
      <c r="T8" s="169">
        <f>SUM(R$12-U$12)/SUM(A$7:A$11)*A8</f>
        <v>16030.867384067555</v>
      </c>
      <c r="U8" s="23">
        <f t="shared" ref="U8:U11" si="11">SUM(R8,T8)</f>
        <v>260294.59404576119</v>
      </c>
      <c r="V8" s="306">
        <f t="shared" ref="V8:V11" si="12">U8/A8</f>
        <v>21691.2161704801</v>
      </c>
      <c r="X8" s="19">
        <v>5585.6620674933483</v>
      </c>
      <c r="Y8" s="19">
        <v>143464.39476079121</v>
      </c>
      <c r="Z8" s="19">
        <v>11955.366230065934</v>
      </c>
    </row>
    <row r="9" spans="1:26" ht="14" customHeight="1" x14ac:dyDescent="0.15">
      <c r="A9" s="19">
        <f t="shared" si="2"/>
        <v>0</v>
      </c>
      <c r="B9" s="19" t="str">
        <f>'VariablesINPUT-CTR'!C11</f>
        <v>Toddler II</v>
      </c>
      <c r="C9" s="205">
        <f>'VariablesINPUT-CTR'!F11</f>
        <v>16</v>
      </c>
      <c r="D9" s="53">
        <f>'VariablesINPUT-CTR'!E11</f>
        <v>8</v>
      </c>
      <c r="E9" s="206">
        <f>IF(A9&gt;0,(SUM(A9/D9)),0)</f>
        <v>0</v>
      </c>
      <c r="F9" s="207">
        <f>'VariablesINPUT-CTR'!B11</f>
        <v>0</v>
      </c>
      <c r="G9" s="19" t="str">
        <f t="shared" si="4"/>
        <v>Toddler II</v>
      </c>
      <c r="H9" s="208">
        <f t="shared" si="5"/>
        <v>0</v>
      </c>
      <c r="I9" s="208">
        <f t="shared" si="6"/>
        <v>0</v>
      </c>
      <c r="J9" s="177"/>
      <c r="K9" s="177">
        <f t="shared" si="0"/>
        <v>0</v>
      </c>
      <c r="L9" s="178">
        <f t="shared" si="7"/>
        <v>0</v>
      </c>
      <c r="M9" s="178">
        <f>SUM(Subs+Floater_Assts+D29)/(TotalClassrooms-F$12)*F9</f>
        <v>0</v>
      </c>
      <c r="N9" s="178">
        <f t="shared" si="8"/>
        <v>0</v>
      </c>
      <c r="O9" s="179">
        <f t="shared" si="1"/>
        <v>0</v>
      </c>
      <c r="P9" s="179">
        <f t="shared" ref="P9:P12" si="13">SUM(NP_EdProgram+NP_MgtAdmin+Reserve_Fund+D$56)/TotalChildren*A9</f>
        <v>0</v>
      </c>
      <c r="R9" s="23">
        <f t="shared" si="9"/>
        <v>0</v>
      </c>
      <c r="S9" s="23">
        <f>IF(R9=0,0,(R9/A9))</f>
        <v>0</v>
      </c>
      <c r="T9" s="169">
        <f>SUM(R$12-U$12)/SUM(A$7:A$11)*A9</f>
        <v>0</v>
      </c>
      <c r="U9" s="23">
        <f>SUM(R9,T9)</f>
        <v>0</v>
      </c>
      <c r="V9" s="306">
        <f>IF(R9=0,0,(U9/A9))</f>
        <v>0</v>
      </c>
      <c r="X9" s="19">
        <v>0</v>
      </c>
      <c r="Y9" s="19">
        <v>0</v>
      </c>
      <c r="Z9" s="19" t="e">
        <v>#DIV/0!</v>
      </c>
    </row>
    <row r="10" spans="1:26" ht="14" customHeight="1" x14ac:dyDescent="0.15">
      <c r="A10" s="19">
        <f t="shared" si="2"/>
        <v>20</v>
      </c>
      <c r="B10" s="19" t="str">
        <f>'VariablesINPUT-CTR'!C12</f>
        <v>3-year-old</v>
      </c>
      <c r="C10" s="205">
        <f>'VariablesINPUT-CTR'!F12</f>
        <v>20</v>
      </c>
      <c r="D10" s="53">
        <f>'VariablesINPUT-CTR'!E12</f>
        <v>10</v>
      </c>
      <c r="E10" s="206">
        <f t="shared" si="3"/>
        <v>2</v>
      </c>
      <c r="F10" s="207">
        <f>'VariablesINPUT-CTR'!B12</f>
        <v>1</v>
      </c>
      <c r="G10" s="19" t="str">
        <f t="shared" si="4"/>
        <v>3-year-old</v>
      </c>
      <c r="H10" s="208">
        <f t="shared" si="5"/>
        <v>16399.023927813432</v>
      </c>
      <c r="I10" s="208">
        <f t="shared" si="6"/>
        <v>1366.5853273177861</v>
      </c>
      <c r="J10" s="177"/>
      <c r="K10" s="177">
        <f t="shared" si="0"/>
        <v>34633.531914893618</v>
      </c>
      <c r="L10" s="178">
        <f t="shared" si="7"/>
        <v>91972.800000000003</v>
      </c>
      <c r="M10" s="178">
        <f>SUM(Subs+Floater_Assts+D29)/(TotalClassrooms-F$12)*F10</f>
        <v>28487.862000000001</v>
      </c>
      <c r="N10" s="178">
        <f t="shared" si="8"/>
        <v>33786.106964255319</v>
      </c>
      <c r="O10" s="179">
        <f t="shared" si="1"/>
        <v>38305.105280000003</v>
      </c>
      <c r="P10" s="179">
        <f t="shared" si="13"/>
        <v>74076.960090340435</v>
      </c>
      <c r="R10" s="23">
        <f t="shared" si="9"/>
        <v>301262.36624948937</v>
      </c>
      <c r="S10" s="23">
        <f t="shared" si="10"/>
        <v>15063.118312474468</v>
      </c>
      <c r="T10" s="169">
        <f>SUM(R$12-U$12)/SUM(A$7:A$11)*A10</f>
        <v>26718.112306779258</v>
      </c>
      <c r="U10" s="23">
        <f t="shared" si="11"/>
        <v>327980.47855626862</v>
      </c>
      <c r="V10" s="306">
        <f t="shared" si="12"/>
        <v>16399.023927813432</v>
      </c>
      <c r="X10" s="19">
        <v>9309.4367791555815</v>
      </c>
      <c r="Y10" s="19">
        <v>167048.30126798537</v>
      </c>
      <c r="Z10" s="19">
        <v>8352.4150633992685</v>
      </c>
    </row>
    <row r="11" spans="1:26" ht="14" customHeight="1" x14ac:dyDescent="0.2">
      <c r="A11" s="19">
        <f t="shared" si="2"/>
        <v>24</v>
      </c>
      <c r="B11" s="19" t="str">
        <f>'VariablesINPUT-CTR'!C13</f>
        <v>4-year-old</v>
      </c>
      <c r="C11" s="205">
        <f>'VariablesINPUT-CTR'!F13</f>
        <v>24</v>
      </c>
      <c r="D11" s="53">
        <f>'VariablesINPUT-CTR'!E13</f>
        <v>12</v>
      </c>
      <c r="E11" s="206">
        <f t="shared" si="3"/>
        <v>2</v>
      </c>
      <c r="F11" s="207">
        <f>'VariablesINPUT-CTR'!B13</f>
        <v>1</v>
      </c>
      <c r="G11" s="19" t="str">
        <f t="shared" si="4"/>
        <v>4-year-old</v>
      </c>
      <c r="H11" s="208">
        <f t="shared" si="5"/>
        <v>15075.975867146766</v>
      </c>
      <c r="I11" s="208">
        <f t="shared" si="6"/>
        <v>1256.3313222622305</v>
      </c>
      <c r="J11" s="209"/>
      <c r="K11" s="177">
        <f t="shared" si="0"/>
        <v>41560.238297872347</v>
      </c>
      <c r="L11" s="178">
        <f t="shared" si="7"/>
        <v>91972.800000000003</v>
      </c>
      <c r="M11" s="178">
        <f>SUM(Subs+Floater_Assts+D29)/(TotalClassrooms-F$12)*F11</f>
        <v>28487.862000000001</v>
      </c>
      <c r="N11" s="178">
        <f t="shared" si="8"/>
        <v>40543.32835710638</v>
      </c>
      <c r="O11" s="179">
        <f t="shared" si="1"/>
        <v>38305.105280000003</v>
      </c>
      <c r="P11" s="179">
        <f t="shared" si="13"/>
        <v>88892.352108408522</v>
      </c>
      <c r="R11" s="23">
        <f t="shared" si="9"/>
        <v>329761.68604338728</v>
      </c>
      <c r="S11" s="23">
        <f t="shared" si="10"/>
        <v>13740.070251807803</v>
      </c>
      <c r="T11" s="169">
        <f>SUM(R$12-U$12)/SUM(A$7:A$11)*A11</f>
        <v>32061.734768135109</v>
      </c>
      <c r="U11" s="23">
        <f t="shared" si="11"/>
        <v>361823.4208115224</v>
      </c>
      <c r="V11" s="306">
        <f t="shared" si="12"/>
        <v>15075.975867146766</v>
      </c>
      <c r="X11" s="19">
        <v>11171.324134986697</v>
      </c>
      <c r="Y11" s="19">
        <v>178840.25452158242</v>
      </c>
      <c r="Z11" s="19">
        <v>7451.6772717326012</v>
      </c>
    </row>
    <row r="12" spans="1:26" ht="14" customHeight="1" x14ac:dyDescent="0.2">
      <c r="A12" s="19">
        <f t="shared" si="2"/>
        <v>30</v>
      </c>
      <c r="B12" s="19" t="str">
        <f>'VariablesINPUT-CTR'!C14</f>
        <v>School age</v>
      </c>
      <c r="C12" s="205">
        <f>'VariablesINPUT-CTR'!F14</f>
        <v>30</v>
      </c>
      <c r="D12" s="53">
        <f>'VariablesINPUT-CTR'!E14</f>
        <v>15</v>
      </c>
      <c r="E12" s="206">
        <f t="shared" si="3"/>
        <v>2</v>
      </c>
      <c r="F12" s="207">
        <f>'VariablesINPUT-CTR'!B14</f>
        <v>1</v>
      </c>
      <c r="G12" s="19" t="str">
        <f t="shared" si="4"/>
        <v>School age</v>
      </c>
      <c r="H12" s="208">
        <f t="shared" si="5"/>
        <v>8617.4948117513486</v>
      </c>
      <c r="I12" s="208">
        <f t="shared" si="6"/>
        <v>718.12456764594572</v>
      </c>
      <c r="J12" s="209"/>
      <c r="K12" s="177">
        <f>Admin_Staff/TotalChildren*A12</f>
        <v>51950.29787234043</v>
      </c>
      <c r="L12" s="178">
        <f>IF(F12&gt;0,((D26+D27)/F12),0)*F12</f>
        <v>91972.800000000003</v>
      </c>
      <c r="M12" s="178"/>
      <c r="N12" s="178">
        <f t="shared" si="8"/>
        <v>50679.160446382979</v>
      </c>
      <c r="O12" s="179">
        <f t="shared" si="1"/>
        <v>38305.105280000003</v>
      </c>
      <c r="P12" s="179">
        <f t="shared" si="13"/>
        <v>111115.44013551065</v>
      </c>
      <c r="Q12" s="21">
        <f>D61</f>
        <v>0</v>
      </c>
      <c r="R12" s="23">
        <f>SUM(K12:Q12)</f>
        <v>344022.80373423407</v>
      </c>
      <c r="S12" s="12">
        <f>IF(F12&gt;0,(R12/A12),0)</f>
        <v>11467.426791141135</v>
      </c>
      <c r="T12" s="169">
        <f>SUM(K12,N12,P12)*T15</f>
        <v>128246.93907254044</v>
      </c>
      <c r="U12" s="239">
        <f>SUM(L12,O12,Q12, T12)</f>
        <v>258524.84435254044</v>
      </c>
      <c r="V12" s="306">
        <f>U12/A12</f>
        <v>8617.4948117513486</v>
      </c>
      <c r="X12" s="19">
        <v>44685.296539946808</v>
      </c>
      <c r="Y12" s="19">
        <v>129439.75653994681</v>
      </c>
      <c r="Z12" s="19">
        <v>4314.6585513315604</v>
      </c>
    </row>
    <row r="13" spans="1:26" ht="14" customHeight="1" x14ac:dyDescent="0.15">
      <c r="A13" s="40">
        <f>SUM(A7:A12)</f>
        <v>94</v>
      </c>
      <c r="B13" s="60"/>
      <c r="C13" s="210"/>
      <c r="D13" s="61"/>
      <c r="E13" s="40">
        <f>SUM(E7:E12)</f>
        <v>10</v>
      </c>
      <c r="F13" s="40">
        <f>SUM(F7:F12)</f>
        <v>5</v>
      </c>
      <c r="H13" s="8">
        <f>IF(F13&gt;0,V13,0)</f>
        <v>15266.75520804894</v>
      </c>
      <c r="I13" s="8">
        <f>H13/12</f>
        <v>1272.229600670745</v>
      </c>
      <c r="J13" s="177"/>
      <c r="K13" s="181">
        <f>SUM(K7:K12)</f>
        <v>162777.60000000003</v>
      </c>
      <c r="L13" s="181">
        <f t="shared" ref="L13:Q13" si="14">SUM(L7:L12)</f>
        <v>459864</v>
      </c>
      <c r="M13" s="181">
        <f>SUM(M7:M12)</f>
        <v>113951.448</v>
      </c>
      <c r="N13" s="181">
        <f t="shared" si="14"/>
        <v>158794.70273200001</v>
      </c>
      <c r="O13" s="181">
        <f t="shared" si="14"/>
        <v>191525.52640000003</v>
      </c>
      <c r="P13" s="181">
        <f>SUM(P7:P12)</f>
        <v>348161.71242460003</v>
      </c>
      <c r="Q13" s="181">
        <f t="shared" si="14"/>
        <v>0</v>
      </c>
      <c r="R13" s="23">
        <f t="shared" si="9"/>
        <v>1435074.9895566001</v>
      </c>
      <c r="T13" s="59"/>
      <c r="U13" s="23">
        <f>SUM(U7:U12)</f>
        <v>1435074.9895566003</v>
      </c>
      <c r="V13" s="306">
        <f>U13/A13</f>
        <v>15266.75520804894</v>
      </c>
    </row>
    <row r="14" spans="1:26" ht="26" customHeight="1" x14ac:dyDescent="0.15">
      <c r="F14" s="211">
        <v>0.2</v>
      </c>
      <c r="G14" s="531" t="s">
        <v>134</v>
      </c>
      <c r="H14" s="531"/>
      <c r="I14" s="531"/>
      <c r="J14" s="59"/>
      <c r="K14" s="59"/>
      <c r="L14" s="223"/>
      <c r="M14" s="223"/>
      <c r="N14" s="223"/>
      <c r="O14" s="224"/>
      <c r="P14" s="224"/>
      <c r="Q14" s="169"/>
      <c r="R14" s="59"/>
      <c r="U14" s="239"/>
    </row>
    <row r="15" spans="1:26" x14ac:dyDescent="0.15">
      <c r="F15" s="54"/>
      <c r="G15" s="532" t="s">
        <v>135</v>
      </c>
      <c r="H15" s="532"/>
      <c r="I15" s="532"/>
      <c r="L15" s="225"/>
      <c r="M15" s="225"/>
      <c r="N15" s="225"/>
      <c r="Q15" s="8"/>
      <c r="S15" s="47" t="s">
        <v>136</v>
      </c>
      <c r="T15" s="54">
        <v>0.6</v>
      </c>
    </row>
    <row r="16" spans="1:26" x14ac:dyDescent="0.15">
      <c r="F16" s="54"/>
      <c r="G16" s="532"/>
      <c r="H16" s="532"/>
      <c r="I16" s="532"/>
      <c r="L16" s="45"/>
      <c r="M16" s="45"/>
      <c r="N16" s="45"/>
      <c r="Q16" s="8"/>
    </row>
    <row r="17" spans="1:20" x14ac:dyDescent="0.15">
      <c r="B17" s="1" t="s">
        <v>137</v>
      </c>
      <c r="D17" s="11" t="s">
        <v>138</v>
      </c>
      <c r="E17" s="11" t="s">
        <v>139</v>
      </c>
      <c r="J17" s="8"/>
      <c r="K17" s="8"/>
      <c r="L17" s="45"/>
      <c r="M17" s="45"/>
      <c r="N17" s="45"/>
      <c r="Q17" s="8"/>
    </row>
    <row r="18" spans="1:20" x14ac:dyDescent="0.15">
      <c r="A18" s="26">
        <f>SUM(A19:A29,A50:A55)</f>
        <v>14.6</v>
      </c>
      <c r="B18" s="1" t="s">
        <v>140</v>
      </c>
      <c r="C18" s="212"/>
      <c r="E18" s="22" t="s">
        <v>141</v>
      </c>
      <c r="J18" s="21"/>
      <c r="K18" s="21"/>
      <c r="L18" s="45"/>
      <c r="M18" s="45"/>
      <c r="N18" s="45"/>
      <c r="Q18" s="8"/>
      <c r="T18" s="8"/>
    </row>
    <row r="19" spans="1:20" x14ac:dyDescent="0.15">
      <c r="A19" s="43">
        <f>IF(A13&gt;0,1)</f>
        <v>1</v>
      </c>
      <c r="B19" s="19" t="s">
        <v>47</v>
      </c>
      <c r="C19" s="54"/>
      <c r="D19" s="8">
        <f>A19*E19</f>
        <v>68904</v>
      </c>
      <c r="E19" s="236">
        <f>IF('VariablesINPUT-CTR'!C$28="Yes",'VariablesINPUT-CTR'!J29,Wages!B11)</f>
        <v>68904</v>
      </c>
      <c r="F19" s="8"/>
      <c r="G19" s="19" t="s">
        <v>142</v>
      </c>
      <c r="J19" s="21"/>
      <c r="K19" s="21"/>
    </row>
    <row r="20" spans="1:20" x14ac:dyDescent="0.15">
      <c r="A20" s="43">
        <f>IF(A13&lt;94,0.5,IF(A13&lt;138,1,IF(A13&lt;182,1.5,2)))</f>
        <v>1</v>
      </c>
      <c r="B20" s="19" t="s">
        <v>143</v>
      </c>
      <c r="C20" s="54"/>
      <c r="D20" s="8">
        <f t="shared" ref="D20" si="15">A20*E20</f>
        <v>55123.200000000004</v>
      </c>
      <c r="E20" s="236">
        <f>IF('VariablesINPUT-CTR'!C$28="Yes",'VariablesINPUT-CTR'!J29*0.8,Wages!C11)</f>
        <v>55123.200000000004</v>
      </c>
      <c r="F20" s="85"/>
      <c r="G20" s="19" t="s">
        <v>144</v>
      </c>
    </row>
    <row r="21" spans="1:20" x14ac:dyDescent="0.15">
      <c r="A21" s="43">
        <f>IF(A13&lt;94,0.5,IF(A13&lt;138,1,IF(A13&lt;182,1.5,2)))</f>
        <v>1</v>
      </c>
      <c r="B21" s="19" t="s">
        <v>145</v>
      </c>
      <c r="C21" s="54"/>
      <c r="D21" s="7">
        <f>A21*E21</f>
        <v>38750.400000000001</v>
      </c>
      <c r="E21" s="236">
        <f>IF('VariablesINPUT-CTR'!C$28="Yes",'VariablesINPUT-CTR'!J28,Wages!D11)</f>
        <v>38750.400000000001</v>
      </c>
      <c r="F21" s="85"/>
      <c r="G21" s="19" t="s">
        <v>144</v>
      </c>
    </row>
    <row r="22" spans="1:20" x14ac:dyDescent="0.15">
      <c r="A22" s="43"/>
      <c r="B22" s="22" t="s">
        <v>146</v>
      </c>
      <c r="C22" s="54"/>
      <c r="D22" s="50">
        <f>SUM(D19:D21)</f>
        <v>162777.60000000001</v>
      </c>
      <c r="E22" s="239"/>
      <c r="F22" s="50"/>
    </row>
    <row r="23" spans="1:20" ht="8.5" customHeight="1" x14ac:dyDescent="0.15">
      <c r="A23" s="43"/>
      <c r="B23" s="22"/>
      <c r="C23" s="54"/>
      <c r="D23" s="8"/>
      <c r="E23" s="239"/>
      <c r="F23" s="85"/>
    </row>
    <row r="24" spans="1:20" x14ac:dyDescent="0.15">
      <c r="A24" s="43">
        <f>SUM(F7:F11)</f>
        <v>4</v>
      </c>
      <c r="B24" s="19" t="s">
        <v>147</v>
      </c>
      <c r="C24" s="54"/>
      <c r="D24" s="239">
        <f>A24*E24</f>
        <v>192672</v>
      </c>
      <c r="E24" s="239">
        <f>IF('VariablesINPUT-CTR'!C$28="Yes",'VariablesINPUT-CTR'!J27,Wages!E11)</f>
        <v>48168</v>
      </c>
      <c r="F24" s="85"/>
      <c r="G24" s="58"/>
      <c r="H24" s="2"/>
      <c r="I24" s="2"/>
    </row>
    <row r="25" spans="1:20" x14ac:dyDescent="0.15">
      <c r="A25" s="43">
        <f>SUM(E7:E11)-A24</f>
        <v>4</v>
      </c>
      <c r="B25" s="19" t="s">
        <v>148</v>
      </c>
      <c r="C25" s="54"/>
      <c r="D25" s="239">
        <f>A25*E25</f>
        <v>175219.20000000001</v>
      </c>
      <c r="E25" s="239">
        <f>IF('VariablesINPUT-CTR'!C$28="Yes",'VariablesINPUT-CTR'!J28,Wages!F11)</f>
        <v>43804.800000000003</v>
      </c>
      <c r="F25" s="85"/>
      <c r="G25" s="58"/>
    </row>
    <row r="26" spans="1:20" x14ac:dyDescent="0.15">
      <c r="A26" s="43">
        <f>PreschoolersClassroom</f>
        <v>1</v>
      </c>
      <c r="B26" s="19" t="s">
        <v>149</v>
      </c>
      <c r="C26" s="54"/>
      <c r="D26" s="239">
        <f>A26*E26</f>
        <v>48168</v>
      </c>
      <c r="E26" s="239">
        <f>E24*H26</f>
        <v>48168</v>
      </c>
      <c r="F26" s="85"/>
      <c r="G26" s="374" t="s">
        <v>150</v>
      </c>
      <c r="H26" s="54">
        <v>1</v>
      </c>
    </row>
    <row r="27" spans="1:20" x14ac:dyDescent="0.15">
      <c r="A27" s="43">
        <f>E12-PreschoolersClassroom</f>
        <v>1</v>
      </c>
      <c r="B27" s="19" t="s">
        <v>151</v>
      </c>
      <c r="C27" s="54"/>
      <c r="D27" s="239">
        <f>A27*E27</f>
        <v>43804.800000000003</v>
      </c>
      <c r="E27" s="239">
        <f>E25*H26</f>
        <v>43804.800000000003</v>
      </c>
      <c r="F27" s="85"/>
      <c r="G27" s="58"/>
    </row>
    <row r="28" spans="1:20" x14ac:dyDescent="0.15">
      <c r="A28" s="43">
        <f>SUM(E7:E11)*F14</f>
        <v>1.6</v>
      </c>
      <c r="B28" s="20" t="s">
        <v>152</v>
      </c>
      <c r="C28" s="54"/>
      <c r="D28" s="181">
        <f>E28*A28</f>
        <v>70087.680000000008</v>
      </c>
      <c r="E28" s="239">
        <f>E25</f>
        <v>43804.800000000003</v>
      </c>
      <c r="G28" s="85"/>
    </row>
    <row r="29" spans="1:20" x14ac:dyDescent="0.15">
      <c r="A29" s="385">
        <f>SUM('VariablesINPUT-CTR'!D38*520)/2080</f>
        <v>0</v>
      </c>
      <c r="B29" s="20" t="s">
        <v>153</v>
      </c>
      <c r="C29" s="54"/>
      <c r="D29" s="240">
        <f>E29*A29</f>
        <v>0</v>
      </c>
      <c r="E29" s="232">
        <f>E25</f>
        <v>43804.800000000003</v>
      </c>
      <c r="G29" s="373" t="s">
        <v>154</v>
      </c>
    </row>
    <row r="30" spans="1:20" x14ac:dyDescent="0.15">
      <c r="A30" s="51">
        <f>SUM(A24:A29)</f>
        <v>11.6</v>
      </c>
      <c r="B30" s="22" t="s">
        <v>155</v>
      </c>
      <c r="D30" s="309">
        <f>SUM(D24:D29)</f>
        <v>529951.68000000005</v>
      </c>
      <c r="F30" s="50"/>
      <c r="O30" s="8"/>
    </row>
    <row r="31" spans="1:20" x14ac:dyDescent="0.15">
      <c r="B31" s="22" t="s">
        <v>156</v>
      </c>
      <c r="D31" s="8">
        <f>D22+D30</f>
        <v>692729.28</v>
      </c>
      <c r="F31" s="8"/>
    </row>
    <row r="32" spans="1:20" ht="7.5" customHeight="1" x14ac:dyDescent="0.15">
      <c r="B32" s="22"/>
    </row>
    <row r="33" spans="2:8" x14ac:dyDescent="0.15">
      <c r="B33" s="19" t="s">
        <v>157</v>
      </c>
      <c r="D33" s="8">
        <f>SUM(A24:A28)*(E33*8)*E36</f>
        <v>19543.68</v>
      </c>
      <c r="E33" s="202">
        <f>Paid_Leave</f>
        <v>10</v>
      </c>
      <c r="F33" s="19" t="s">
        <v>158</v>
      </c>
    </row>
    <row r="34" spans="2:8" x14ac:dyDescent="0.15">
      <c r="B34" s="19" t="s">
        <v>159</v>
      </c>
      <c r="D34" s="8">
        <f>SUM(A24:A28)*(E34*8)*E36</f>
        <v>19543.68</v>
      </c>
      <c r="E34" s="202">
        <f>Sick_Days</f>
        <v>10</v>
      </c>
      <c r="F34" s="19" t="s">
        <v>160</v>
      </c>
    </row>
    <row r="35" spans="2:8" x14ac:dyDescent="0.15">
      <c r="B35" s="25" t="s">
        <v>161</v>
      </c>
      <c r="D35" s="232">
        <f>SUM(_NumberTeachingStaff,A19)*E36*E35</f>
        <v>4776.4079999999994</v>
      </c>
      <c r="E35" s="19">
        <v>18</v>
      </c>
      <c r="F35" s="19" t="s">
        <v>162</v>
      </c>
    </row>
    <row r="36" spans="2:8" x14ac:dyDescent="0.15">
      <c r="B36" s="22" t="s">
        <v>163</v>
      </c>
      <c r="D36" s="181">
        <f>SUM(D33:D35)</f>
        <v>43863.767999999996</v>
      </c>
      <c r="E36" s="306">
        <f>E25/2080</f>
        <v>21.060000000000002</v>
      </c>
      <c r="F36" s="19" t="s">
        <v>164</v>
      </c>
    </row>
    <row r="37" spans="2:8" ht="6.5" customHeight="1" x14ac:dyDescent="0.15">
      <c r="B37" s="22"/>
      <c r="D37" s="7"/>
    </row>
    <row r="38" spans="2:8" x14ac:dyDescent="0.15">
      <c r="B38" s="22" t="s">
        <v>165</v>
      </c>
      <c r="C38" s="213"/>
      <c r="D38" s="9">
        <f>D31+D36</f>
        <v>736593.04800000007</v>
      </c>
    </row>
    <row r="39" spans="2:8" x14ac:dyDescent="0.15">
      <c r="B39" s="42" t="s">
        <v>166</v>
      </c>
    </row>
    <row r="40" spans="2:8" x14ac:dyDescent="0.15">
      <c r="B40" s="19" t="s">
        <v>167</v>
      </c>
      <c r="C40" s="48">
        <v>6.2E-2</v>
      </c>
      <c r="D40" s="8">
        <f>C40*D38</f>
        <v>45668.768976000007</v>
      </c>
    </row>
    <row r="41" spans="2:8" ht="15" customHeight="1" x14ac:dyDescent="0.15">
      <c r="B41" s="19" t="s">
        <v>168</v>
      </c>
      <c r="C41" s="48">
        <v>1.4500000000000001E-2</v>
      </c>
      <c r="D41" s="8">
        <f>C41*D38</f>
        <v>10680.599196000001</v>
      </c>
      <c r="G41" s="14"/>
    </row>
    <row r="42" spans="2:8" ht="14" customHeight="1" x14ac:dyDescent="0.15">
      <c r="B42" s="19" t="s">
        <v>169</v>
      </c>
      <c r="C42" s="68">
        <v>0.01</v>
      </c>
      <c r="D42" s="8">
        <f>C42*((7000*A18)+SUM(D33:D34))</f>
        <v>1412.8735999999999</v>
      </c>
      <c r="E42" s="52"/>
      <c r="F42" s="25"/>
    </row>
    <row r="43" spans="2:8" ht="15" customHeight="1" x14ac:dyDescent="0.15">
      <c r="B43" s="19" t="s">
        <v>170</v>
      </c>
      <c r="C43" s="68">
        <v>0.02</v>
      </c>
      <c r="D43" s="8">
        <f>C43*D38</f>
        <v>14731.860960000002</v>
      </c>
      <c r="E43" s="52"/>
      <c r="F43" s="25"/>
    </row>
    <row r="44" spans="2:8" ht="12.5" customHeight="1" x14ac:dyDescent="0.15">
      <c r="B44" s="22" t="s">
        <v>171</v>
      </c>
      <c r="C44" s="48">
        <f>SUM(C40:C43)</f>
        <v>0.1065</v>
      </c>
      <c r="D44" s="8">
        <f>SUM(D40:D43)</f>
        <v>72494.102732000014</v>
      </c>
      <c r="E44" s="8"/>
      <c r="F44" s="214"/>
      <c r="G44" s="14"/>
    </row>
    <row r="45" spans="2:8" x14ac:dyDescent="0.15">
      <c r="B45" s="42" t="s">
        <v>172</v>
      </c>
      <c r="C45" s="206"/>
      <c r="D45" s="10"/>
      <c r="E45" s="8">
        <v>5911</v>
      </c>
    </row>
    <row r="46" spans="2:8" x14ac:dyDescent="0.15">
      <c r="B46" s="25" t="s">
        <v>173</v>
      </c>
      <c r="C46" s="83">
        <v>5911</v>
      </c>
      <c r="D46" s="7">
        <f>IF(HealthIns="Yes", (Addl_benefits_per_staff*A18), 0)</f>
        <v>86300.599999999991</v>
      </c>
      <c r="E46" s="2" t="s">
        <v>174</v>
      </c>
    </row>
    <row r="47" spans="2:8" x14ac:dyDescent="0.15">
      <c r="B47" s="13" t="s">
        <v>175</v>
      </c>
      <c r="C47" s="10"/>
      <c r="D47" s="9">
        <f>D38+D44+D46</f>
        <v>895387.7507320001</v>
      </c>
      <c r="E47" s="54">
        <f>D47/D66</f>
        <v>0.62393098426769389</v>
      </c>
      <c r="F47" s="19" t="s">
        <v>176</v>
      </c>
    </row>
    <row r="48" spans="2:8" x14ac:dyDescent="0.15">
      <c r="B48" s="13"/>
      <c r="C48" s="10"/>
      <c r="D48" s="9"/>
      <c r="E48" s="54"/>
      <c r="H48" s="22"/>
    </row>
    <row r="49" spans="1:15" x14ac:dyDescent="0.15">
      <c r="B49" s="78" t="s">
        <v>177</v>
      </c>
      <c r="C49" s="10"/>
      <c r="D49" s="9"/>
      <c r="E49" s="54"/>
      <c r="H49" s="76"/>
      <c r="I49" s="76"/>
    </row>
    <row r="50" spans="1:15" x14ac:dyDescent="0.15">
      <c r="A50" s="383">
        <f>IF('VariablesINPUT-CTR'!D32='VariablesINPUT-CTR'!O32,(QualVar!L10),0)</f>
        <v>0</v>
      </c>
      <c r="B50" s="25" t="str">
        <f>QualVar!A8</f>
        <v>Family Engagement</v>
      </c>
      <c r="C50" s="10"/>
      <c r="D50" s="8">
        <f>IF('VariablesINPUT-CTR'!D32='VariablesINPUT-CTR'!L32,QualVar!B11,
IF('VariablesINPUT-CTR'!D32='VariablesINPUT-CTR'!M32,QualVar!C11,
IF('VariablesINPUT-CTR'!D32='VariablesINPUT-CTR'!N32,QualVar!D11,
IF('VariablesINPUT-CTR'!D32='VariablesINPUT-CTR'!O32,QualVar!E11,0))))</f>
        <v>0</v>
      </c>
      <c r="E50" s="54"/>
    </row>
    <row r="51" spans="1:15" x14ac:dyDescent="0.15">
      <c r="A51" s="19">
        <f>IF('VariablesINPUT-CTR'!D33='VariablesINPUT-CTR'!O33,(QualVar!L17),0)</f>
        <v>0</v>
      </c>
      <c r="B51" s="25" t="str">
        <f>QualVar!A13</f>
        <v>Professional Development Supports</v>
      </c>
      <c r="C51" s="10"/>
      <c r="D51" s="8">
        <f>IF('VariablesINPUT-CTR'!D33='VariablesINPUT-CTR'!L33,QualVar!B18,
IF('VariablesINPUT-CTR'!D33='VariablesINPUT-CTR'!M33,QualVar!C18,
IF('VariablesINPUT-CTR'!D33='VariablesINPUT-CTR'!N33,QualVar!D18,
IF('VariablesINPUT-CTR'!D33='VariablesINPUT-CTR'!O33,QualVar!E18,0))))</f>
        <v>0</v>
      </c>
      <c r="E51" s="54"/>
    </row>
    <row r="52" spans="1:15" x14ac:dyDescent="0.15">
      <c r="B52" s="25" t="str">
        <f>QualVar!A20</f>
        <v>Curriculum Implementation Supports</v>
      </c>
      <c r="C52" s="10"/>
      <c r="D52" s="8">
        <f>IF('VariablesINPUT-CTR'!D34='VariablesINPUT-CTR'!L34,QualVar!B22,
IF('VariablesINPUT-CTR'!D34='VariablesINPUT-CTR'!M34,QualVar!D22,
IF('VariablesINPUT-CTR'!D34='VariablesINPUT-CTR'!N34,QualVar!E22,0)))</f>
        <v>0</v>
      </c>
      <c r="E52" s="54"/>
    </row>
    <row r="53" spans="1:15" x14ac:dyDescent="0.15">
      <c r="B53" s="25" t="str">
        <f>QualVar!A24</f>
        <v>Educational Materials</v>
      </c>
      <c r="C53" s="10"/>
      <c r="D53" s="8">
        <f>IF('VariablesINPUT-CTR'!D35='VariablesINPUT-CTR'!L35,QualVar!B26,
IF('VariablesINPUT-CTR'!D35='VariablesINPUT-CTR'!M35,QualVar!C26,
IF('VariablesINPUT-CTR'!D35='VariablesINPUT-CTR'!N35,QualVar!D26,
IF('VariablesINPUT-CTR'!D35='VariablesINPUT-CTR'!O35,QualVar!E26,0))))</f>
        <v>0</v>
      </c>
      <c r="E53" s="54"/>
    </row>
    <row r="54" spans="1:15" x14ac:dyDescent="0.15">
      <c r="A54" s="383">
        <f>IF('VariablesINPUT-CTR'!D36='VariablesINPUT-CTR'!M36,(QualVar!L29),0)</f>
        <v>0</v>
      </c>
      <c r="B54" s="25" t="str">
        <f>QualVar!A28</f>
        <v>Comprehensive Health and Development</v>
      </c>
      <c r="C54" s="10"/>
      <c r="D54" s="8">
        <f>IF('VariablesINPUT-CTR'!D36='VariablesINPUT-CTR'!L36,QualVar!B30,
IF('VariablesINPUT-CTR'!D36='VariablesINPUT-CTR'!M36,QualVar!E30,0))</f>
        <v>0</v>
      </c>
      <c r="E54" s="54"/>
    </row>
    <row r="55" spans="1:15" x14ac:dyDescent="0.15">
      <c r="B55" s="25" t="str">
        <f>QualVar!A32</f>
        <v>Inclusion Materials</v>
      </c>
      <c r="C55" s="10"/>
      <c r="D55" s="8">
        <f>IF('VariablesINPUT-CTR'!D37='VariablesINPUT-CTR'!L37,QualVar!B34,
IF('VariablesINPUT-CTR'!D37='VariablesINPUT-CTR'!M37,QualVar!E34,0))</f>
        <v>0</v>
      </c>
      <c r="E55" s="54"/>
    </row>
    <row r="56" spans="1:15" x14ac:dyDescent="0.15">
      <c r="B56" s="13" t="s">
        <v>178</v>
      </c>
      <c r="C56" s="10"/>
      <c r="D56" s="307">
        <f>SUM(D50:D55)</f>
        <v>0</v>
      </c>
      <c r="H56" s="22"/>
    </row>
    <row r="57" spans="1:15" x14ac:dyDescent="0.15">
      <c r="B57" s="1" t="s">
        <v>179</v>
      </c>
      <c r="C57" s="206"/>
      <c r="D57" s="10"/>
    </row>
    <row r="58" spans="1:15" ht="14" thickBot="1" x14ac:dyDescent="0.2">
      <c r="A58" s="47"/>
      <c r="B58" s="25" t="s">
        <v>180</v>
      </c>
      <c r="C58" s="206"/>
      <c r="D58" s="21">
        <f>'Nonpersonnel PCQC'!D40*TotalChildren</f>
        <v>247570.21660000001</v>
      </c>
      <c r="E58" s="19">
        <f>NP_EdProgram/TotalChildren</f>
        <v>2633.7257085106385</v>
      </c>
    </row>
    <row r="59" spans="1:15" x14ac:dyDescent="0.15">
      <c r="A59" s="49"/>
      <c r="B59" s="25" t="s">
        <v>98</v>
      </c>
      <c r="C59" s="44"/>
      <c r="D59" s="21">
        <f>'Nonpersonnel PCQC'!D39*TotalClassrooms</f>
        <v>191525.52640000003</v>
      </c>
      <c r="E59" s="19">
        <f>NP_Occupancy/TotalClassrooms</f>
        <v>38305.105280000003</v>
      </c>
      <c r="G59" s="215"/>
      <c r="H59" s="70" t="s">
        <v>181</v>
      </c>
      <c r="I59" s="216"/>
    </row>
    <row r="60" spans="1:15" x14ac:dyDescent="0.15">
      <c r="A60" s="47"/>
      <c r="B60" s="25" t="s">
        <v>182</v>
      </c>
      <c r="C60" s="44"/>
      <c r="D60" s="21">
        <f>'Nonpersonnel PCQC'!D38*TotalChildren</f>
        <v>32254.591560000001</v>
      </c>
      <c r="E60" s="206"/>
      <c r="G60" s="217"/>
      <c r="H60" s="71" t="str">
        <f>B7</f>
        <v>Infants</v>
      </c>
      <c r="I60" s="218">
        <f>H7*A7</f>
        <v>226451.65179050743</v>
      </c>
    </row>
    <row r="61" spans="1:15" x14ac:dyDescent="0.15">
      <c r="B61" s="25" t="s">
        <v>183</v>
      </c>
      <c r="C61" s="44"/>
      <c r="D61" s="21"/>
      <c r="E61" s="206"/>
      <c r="H61" s="71" t="str">
        <f t="shared" ref="H61:H62" si="16">B8</f>
        <v>Toddler I</v>
      </c>
      <c r="I61" s="218">
        <f t="shared" ref="I61:I62" si="17">H8*A8</f>
        <v>260294.59404576122</v>
      </c>
    </row>
    <row r="62" spans="1:15" x14ac:dyDescent="0.15">
      <c r="A62" s="47"/>
      <c r="B62" s="13" t="s">
        <v>184</v>
      </c>
      <c r="C62" s="9"/>
      <c r="D62" s="46">
        <f>SUM(D56:D61)</f>
        <v>471350.33455999999</v>
      </c>
      <c r="E62" s="54">
        <f>D62/D66</f>
        <v>0.32844996811325844</v>
      </c>
      <c r="F62" s="19" t="s">
        <v>176</v>
      </c>
      <c r="H62" s="71" t="str">
        <f t="shared" si="16"/>
        <v>Toddler II</v>
      </c>
      <c r="I62" s="218">
        <f t="shared" si="17"/>
        <v>0</v>
      </c>
    </row>
    <row r="63" spans="1:15" x14ac:dyDescent="0.15">
      <c r="A63" s="47"/>
      <c r="B63" s="13"/>
      <c r="C63" s="9"/>
      <c r="D63" s="46"/>
      <c r="E63" s="54"/>
      <c r="H63" s="71" t="str">
        <f t="shared" ref="H63:H65" si="18">B10</f>
        <v>3-year-old</v>
      </c>
      <c r="I63" s="218">
        <f t="shared" ref="I63:I65" si="19">H10*A10</f>
        <v>327980.47855626862</v>
      </c>
    </row>
    <row r="64" spans="1:15" ht="13" customHeight="1" x14ac:dyDescent="0.15">
      <c r="A64" s="47"/>
      <c r="B64" s="25" t="s">
        <v>185</v>
      </c>
      <c r="D64" s="21">
        <f>E64*(Personnel+Nonpersonnel)</f>
        <v>68336.904264600002</v>
      </c>
      <c r="E64" s="211">
        <v>0.05</v>
      </c>
      <c r="F64" s="19" t="s">
        <v>176</v>
      </c>
      <c r="H64" s="71" t="str">
        <f t="shared" si="18"/>
        <v>4-year-old</v>
      </c>
      <c r="I64" s="218">
        <f t="shared" si="19"/>
        <v>361823.4208115224</v>
      </c>
      <c r="L64" s="22"/>
      <c r="M64" s="22"/>
      <c r="N64" s="22"/>
      <c r="O64" s="8"/>
    </row>
    <row r="65" spans="1:15" ht="13" customHeight="1" x14ac:dyDescent="0.15">
      <c r="A65" s="47"/>
      <c r="B65" s="25"/>
      <c r="D65" s="21"/>
      <c r="E65" s="54"/>
      <c r="H65" s="71" t="str">
        <f t="shared" si="18"/>
        <v>School age</v>
      </c>
      <c r="I65" s="218">
        <f t="shared" si="19"/>
        <v>258524.84435254044</v>
      </c>
      <c r="L65" s="22"/>
      <c r="M65" s="22"/>
      <c r="N65" s="22"/>
      <c r="O65" s="8"/>
    </row>
    <row r="66" spans="1:15" x14ac:dyDescent="0.15">
      <c r="A66" s="59"/>
      <c r="B66" s="13" t="s">
        <v>186</v>
      </c>
      <c r="D66" s="41">
        <f>SUM(Personnel+Nonpersonnel+Reserve_Fund)</f>
        <v>1435074.9895566001</v>
      </c>
      <c r="G66" s="59"/>
      <c r="H66" s="72" t="s">
        <v>76</v>
      </c>
      <c r="I66" s="219">
        <f>SUM(I60:I65)</f>
        <v>1435074.9895566003</v>
      </c>
    </row>
    <row r="67" spans="1:15" x14ac:dyDescent="0.15">
      <c r="D67" s="21"/>
      <c r="G67" s="76"/>
      <c r="H67" s="72"/>
      <c r="I67" s="218"/>
      <c r="J67" s="76"/>
      <c r="K67" s="76"/>
      <c r="L67" s="76"/>
      <c r="M67" s="76"/>
      <c r="N67" s="76"/>
    </row>
    <row r="68" spans="1:15" ht="15" thickBot="1" x14ac:dyDescent="0.2">
      <c r="B68" s="166" t="s">
        <v>187</v>
      </c>
      <c r="C68" s="212">
        <f>'VariablesINPUT-CTR'!E76</f>
        <v>0</v>
      </c>
      <c r="D68" s="241" t="s">
        <v>188</v>
      </c>
      <c r="E68" s="228"/>
      <c r="H68" s="220"/>
      <c r="I68" s="221">
        <f>I66-D66</f>
        <v>0</v>
      </c>
      <c r="J68" s="228" t="s">
        <v>97</v>
      </c>
      <c r="K68" s="228" t="s">
        <v>189</v>
      </c>
      <c r="L68" s="228" t="s">
        <v>190</v>
      </c>
    </row>
    <row r="69" spans="1:15" ht="14" x14ac:dyDescent="0.15">
      <c r="B69" s="166" t="s">
        <v>191</v>
      </c>
      <c r="C69" s="212" t="str">
        <f>'VariablesINPUT-CTR'!E84</f>
        <v>New Castle</v>
      </c>
      <c r="D69" s="241" t="s">
        <v>188</v>
      </c>
      <c r="H69" s="76"/>
      <c r="I69" s="76"/>
      <c r="J69" s="228" t="s">
        <v>189</v>
      </c>
      <c r="K69" s="228"/>
      <c r="L69" s="228" t="s">
        <v>190</v>
      </c>
      <c r="M69" s="228"/>
      <c r="N69" s="228"/>
      <c r="O69" s="228"/>
    </row>
    <row r="70" spans="1:15" ht="14" x14ac:dyDescent="0.15">
      <c r="A70" s="19" t="s">
        <v>192</v>
      </c>
      <c r="C70" s="22"/>
      <c r="D70" s="229"/>
      <c r="E70" s="230"/>
      <c r="F70" s="231"/>
      <c r="G70" s="231"/>
      <c r="I70" s="228" t="s">
        <v>97</v>
      </c>
    </row>
    <row r="71" spans="1:15" ht="14" x14ac:dyDescent="0.15">
      <c r="A71" s="226">
        <f>SUM(A73:A84)</f>
        <v>94</v>
      </c>
      <c r="B71" s="1" t="s">
        <v>71</v>
      </c>
      <c r="C71" s="311" t="s">
        <v>193</v>
      </c>
      <c r="D71" s="312"/>
      <c r="E71" s="59"/>
      <c r="F71" s="59"/>
      <c r="G71" s="59"/>
      <c r="I71" s="228" t="s">
        <v>97</v>
      </c>
    </row>
    <row r="72" spans="1:15" x14ac:dyDescent="0.15">
      <c r="A72" s="58"/>
      <c r="B72" s="19" t="s">
        <v>194</v>
      </c>
      <c r="C72" s="57"/>
      <c r="D72" s="312">
        <f>SUM(('VariablesINPUT-CTR'!D59*SUM(AVERAGE('Fed CACFP'!J7:J8)*52)),
('VariablesINPUT-CTR'!E58*'Fed CACFP'!J6)*52)</f>
        <v>53370.2</v>
      </c>
      <c r="E72" s="170"/>
      <c r="F72" s="59" t="s">
        <v>195</v>
      </c>
      <c r="G72" s="59"/>
      <c r="H72" s="231"/>
      <c r="I72" s="169"/>
    </row>
    <row r="73" spans="1:15" x14ac:dyDescent="0.15">
      <c r="A73" s="58">
        <f>'VariablesINPUT-CTR'!E52</f>
        <v>5</v>
      </c>
      <c r="B73" s="19" t="s">
        <v>196</v>
      </c>
      <c r="C73" s="311">
        <f>SUM(F73*12)</f>
        <v>19500</v>
      </c>
      <c r="D73" s="311">
        <f>A73*C73</f>
        <v>97500</v>
      </c>
      <c r="E73" s="21"/>
      <c r="F73" s="313">
        <f>IF(C$69="New Castle",'Tuition Rates'!D3,IF(C$69="Kent",'Tuition Rates'!D11,IF(C$69="Sussex",'Tuition Rates'!D19,)))</f>
        <v>1625</v>
      </c>
      <c r="G73" s="310"/>
    </row>
    <row r="74" spans="1:15" x14ac:dyDescent="0.15">
      <c r="A74" s="58">
        <f>'VariablesINPUT-CTR'!E53</f>
        <v>9</v>
      </c>
      <c r="B74" s="19" t="s">
        <v>197</v>
      </c>
      <c r="C74" s="311">
        <f t="shared" ref="C74:C75" si="20">SUM(F74*12)</f>
        <v>17877.600000000002</v>
      </c>
      <c r="D74" s="311">
        <f t="shared" ref="D74:D76" si="21">A74*C74</f>
        <v>160898.40000000002</v>
      </c>
      <c r="E74" s="21"/>
      <c r="F74" s="313">
        <f>IF(C$69="New Castle",'Tuition Rates'!D4,IF(C$69="Kent",'Tuition Rates'!D12,IF(C$69="Sussex",'Tuition Rates'!D20,)))</f>
        <v>1489.8000000000002</v>
      </c>
      <c r="G74" s="310"/>
    </row>
    <row r="75" spans="1:15" x14ac:dyDescent="0.15">
      <c r="A75" s="58">
        <f>SUM('VariablesINPUT-CTR'!E54:E56)</f>
        <v>38</v>
      </c>
      <c r="B75" s="19" t="s">
        <v>198</v>
      </c>
      <c r="C75" s="311">
        <f t="shared" si="20"/>
        <v>15704</v>
      </c>
      <c r="D75" s="311">
        <f t="shared" si="21"/>
        <v>596752</v>
      </c>
      <c r="E75" s="21"/>
      <c r="F75" s="313">
        <f>IF(C$69="New Castle",'Tuition Rates'!D5,IF(C$69="Kent",'Tuition Rates'!D13,IF(C$69="Sussex",'Tuition Rates'!D21,)))</f>
        <v>1308.6666666666667</v>
      </c>
      <c r="G75" s="310"/>
    </row>
    <row r="76" spans="1:15" x14ac:dyDescent="0.15">
      <c r="A76" s="58">
        <f>'VariablesINPUT-CTR'!E57</f>
        <v>27</v>
      </c>
      <c r="B76" s="19" t="s">
        <v>199</v>
      </c>
      <c r="C76" s="311">
        <f>SUM(F76*12)</f>
        <v>8827</v>
      </c>
      <c r="D76" s="311">
        <f t="shared" si="21"/>
        <v>238329</v>
      </c>
      <c r="E76" s="21"/>
      <c r="F76" s="313">
        <f>IF(C$69="New Castle",'Tuition Rates'!D6,IF(C$69="Kent",'Tuition Rates'!D14,IF(C$69="Sussex",'Tuition Rates'!D22,)))</f>
        <v>735.58333333333337</v>
      </c>
      <c r="G76" s="310"/>
    </row>
    <row r="77" spans="1:15" x14ac:dyDescent="0.15">
      <c r="A77" s="58">
        <f>'VariablesINPUT-CTR'!C52</f>
        <v>3</v>
      </c>
      <c r="B77" s="19" t="s">
        <v>200</v>
      </c>
      <c r="C77" s="311">
        <f t="shared" ref="C77:C84" si="22">SUM(F77*12)</f>
        <v>0</v>
      </c>
      <c r="D77" s="311">
        <f>A77*C77</f>
        <v>0</v>
      </c>
      <c r="E77" s="21"/>
      <c r="F77" s="313">
        <f>IF(C$68="New Castle",'Subsidy Rates'!D3,IF(C$68="Kent",'Subsidy Rates'!#REF!,IF(C$68="Sussex",'Subsidy Rates'!#REF!,0)))</f>
        <v>0</v>
      </c>
      <c r="G77" s="310"/>
    </row>
    <row r="78" spans="1:15" x14ac:dyDescent="0.15">
      <c r="A78" s="58">
        <f>'VariablesINPUT-CTR'!C53</f>
        <v>3</v>
      </c>
      <c r="B78" s="19" t="s">
        <v>201</v>
      </c>
      <c r="C78" s="311">
        <f t="shared" si="22"/>
        <v>0</v>
      </c>
      <c r="D78" s="311">
        <f>A78*C78</f>
        <v>0</v>
      </c>
      <c r="E78" s="21"/>
      <c r="F78" s="313">
        <f>IF(C$68="New Castle",'Subsidy Rates'!D4,IF(C$68="Kent",'Subsidy Rates'!#REF!,IF(C$68="Sussex",'Subsidy Rates'!#REF!,0)))</f>
        <v>0</v>
      </c>
      <c r="G78" s="310"/>
    </row>
    <row r="79" spans="1:15" x14ac:dyDescent="0.15">
      <c r="A79" s="58">
        <f>SUM('VariablesINPUT-CTR'!C54:C56)</f>
        <v>6</v>
      </c>
      <c r="B79" s="19" t="s">
        <v>202</v>
      </c>
      <c r="C79" s="311">
        <f t="shared" si="22"/>
        <v>0</v>
      </c>
      <c r="D79" s="311">
        <f t="shared" ref="D79:D80" si="23">A79*C79</f>
        <v>0</v>
      </c>
      <c r="E79" s="21"/>
      <c r="F79" s="313">
        <f>IF(C$68="New Castle",'Subsidy Rates'!D5,IF(C$68="Kent",'Subsidy Rates'!#REF!,IF(C$68="Sussex",'Subsidy Rates'!#REF!,0)))</f>
        <v>0</v>
      </c>
      <c r="G79" s="310"/>
    </row>
    <row r="80" spans="1:15" x14ac:dyDescent="0.15">
      <c r="A80" s="58">
        <f>'VariablesINPUT-CTR'!C57</f>
        <v>3</v>
      </c>
      <c r="B80" s="19" t="s">
        <v>203</v>
      </c>
      <c r="C80" s="311">
        <f t="shared" si="22"/>
        <v>0</v>
      </c>
      <c r="D80" s="311">
        <f t="shared" si="23"/>
        <v>0</v>
      </c>
      <c r="E80" s="21"/>
      <c r="F80" s="313">
        <f>IF(C$68="New Castle",'Subsidy Rates'!D6,IF(C$68="Kent",'Subsidy Rates'!#REF!,IF(C$68="Sussex",'Subsidy Rates'!#REF!,0)))</f>
        <v>0</v>
      </c>
      <c r="G80" s="310"/>
      <c r="H80" s="19" t="s">
        <v>204</v>
      </c>
    </row>
    <row r="81" spans="1:8" x14ac:dyDescent="0.15">
      <c r="A81" s="58">
        <f>'VariablesINPUT-CTR'!D52</f>
        <v>0</v>
      </c>
      <c r="B81" s="19" t="s">
        <v>205</v>
      </c>
      <c r="C81" s="311">
        <f t="shared" si="22"/>
        <v>0</v>
      </c>
      <c r="D81" s="311">
        <f>A81*C81</f>
        <v>0</v>
      </c>
      <c r="E81" s="21"/>
      <c r="F81" s="313">
        <f>IF(C$68="New Castle",'Subsidy Rates'!E3,IF(C$68="Kent",'Subsidy Rates'!#REF!,IF(C$68="Sussex",'Subsidy Rates'!#REF!,0)))</f>
        <v>0</v>
      </c>
      <c r="G81" s="310"/>
    </row>
    <row r="82" spans="1:8" x14ac:dyDescent="0.15">
      <c r="A82" s="58">
        <f>'VariablesINPUT-CTR'!D53</f>
        <v>0</v>
      </c>
      <c r="B82" s="19" t="s">
        <v>206</v>
      </c>
      <c r="C82" s="311">
        <f t="shared" si="22"/>
        <v>0</v>
      </c>
      <c r="D82" s="311">
        <f>A82*C82</f>
        <v>0</v>
      </c>
      <c r="E82" s="21"/>
      <c r="F82" s="313">
        <f>IF(C$68="New Castle",'Subsidy Rates'!E4,IF(C$68="Kent",'Subsidy Rates'!#REF!,IF(C$68="Sussex",'Subsidy Rates'!#REF!,0)))</f>
        <v>0</v>
      </c>
      <c r="G82" s="310"/>
    </row>
    <row r="83" spans="1:8" x14ac:dyDescent="0.15">
      <c r="A83" s="58">
        <f>SUM('VariablesINPUT-CTR'!D54:D56)</f>
        <v>0</v>
      </c>
      <c r="B83" s="19" t="s">
        <v>207</v>
      </c>
      <c r="C83" s="311">
        <f t="shared" si="22"/>
        <v>0</v>
      </c>
      <c r="D83" s="311">
        <f t="shared" ref="D83:D84" si="24">A83*C83</f>
        <v>0</v>
      </c>
      <c r="E83" s="21"/>
      <c r="F83" s="313">
        <f>IF(C$68="New Castle",'Subsidy Rates'!E5,IF(C$68="Kent",'Subsidy Rates'!#REF!,IF(C$68="Sussex",'Subsidy Rates'!#REF!,0)))</f>
        <v>0</v>
      </c>
      <c r="G83" s="310"/>
    </row>
    <row r="84" spans="1:8" x14ac:dyDescent="0.15">
      <c r="A84" s="58">
        <f>'VariablesINPUT-CTR'!D57</f>
        <v>0</v>
      </c>
      <c r="B84" s="19" t="s">
        <v>208</v>
      </c>
      <c r="C84" s="311">
        <f t="shared" si="22"/>
        <v>0</v>
      </c>
      <c r="D84" s="311">
        <f t="shared" si="24"/>
        <v>0</v>
      </c>
      <c r="E84" s="21"/>
      <c r="F84" s="313">
        <f>IF(C$68="New Castle",'Subsidy Rates'!E6,IF(C$68="Kent",'Subsidy Rates'!#REF!,IF(C$68="Sussex",'Subsidy Rates'!#REF!,0)))</f>
        <v>0</v>
      </c>
      <c r="G84" s="310"/>
      <c r="H84" s="19" t="s">
        <v>204</v>
      </c>
    </row>
    <row r="85" spans="1:8" x14ac:dyDescent="0.15">
      <c r="B85" s="19" t="s">
        <v>209</v>
      </c>
      <c r="D85" s="222">
        <f>'VariablesINPUT-CTR'!D62</f>
        <v>0</v>
      </c>
      <c r="E85" s="21"/>
    </row>
    <row r="86" spans="1:8" x14ac:dyDescent="0.15">
      <c r="B86" s="18"/>
      <c r="D86" s="227">
        <f>SUM(D72:D85)</f>
        <v>1146849.6000000001</v>
      </c>
      <c r="E86" s="20" t="s">
        <v>210</v>
      </c>
    </row>
    <row r="88" spans="1:8" x14ac:dyDescent="0.15">
      <c r="B88" s="167" t="s">
        <v>211</v>
      </c>
      <c r="C88" s="59"/>
      <c r="D88" s="59"/>
      <c r="E88" s="59"/>
      <c r="F88" s="59"/>
    </row>
    <row r="89" spans="1:8" x14ac:dyDescent="0.15">
      <c r="B89" s="59" t="s">
        <v>212</v>
      </c>
      <c r="C89" s="168">
        <f>BadDebt</f>
        <v>0.03</v>
      </c>
      <c r="D89" s="169">
        <f>C89*(D86-D85)</f>
        <v>34405.488000000005</v>
      </c>
      <c r="E89" s="59"/>
      <c r="F89" s="59"/>
    </row>
    <row r="90" spans="1:8" x14ac:dyDescent="0.15">
      <c r="B90" s="59" t="s">
        <v>213</v>
      </c>
      <c r="C90" s="168">
        <f>EnrollEffic</f>
        <v>0.85</v>
      </c>
      <c r="D90" s="170">
        <f>(1-C90)*(D86-D89)</f>
        <v>166866.61680000005</v>
      </c>
      <c r="E90" s="59"/>
      <c r="F90" s="59"/>
    </row>
    <row r="91" spans="1:8" x14ac:dyDescent="0.15">
      <c r="B91" s="59"/>
      <c r="C91" s="171"/>
      <c r="D91" s="172">
        <f>D86-D89-D90</f>
        <v>945577.49520000012</v>
      </c>
      <c r="E91" s="173" t="s">
        <v>214</v>
      </c>
      <c r="F91" s="59"/>
    </row>
    <row r="92" spans="1:8" x14ac:dyDescent="0.15">
      <c r="B92" s="174" t="s">
        <v>215</v>
      </c>
      <c r="C92" s="174"/>
      <c r="D92" s="175">
        <f>D91-D66</f>
        <v>-489497.49435659999</v>
      </c>
      <c r="E92" s="176">
        <f>D92/D66</f>
        <v>-0.34109541168147711</v>
      </c>
      <c r="F92" s="174" t="s">
        <v>176</v>
      </c>
    </row>
  </sheetData>
  <mergeCells count="2">
    <mergeCell ref="G14:I14"/>
    <mergeCell ref="G15:I16"/>
  </mergeCells>
  <phoneticPr fontId="9" type="noConversion"/>
  <conditionalFormatting sqref="I68">
    <cfRule type="cellIs" dxfId="0" priority="1" operator="lessThan">
      <formula>0</formula>
    </cfRule>
  </conditionalFormatting>
  <pageMargins left="0.25" right="0.25" top="0.25" bottom="0.25" header="0" footer="0"/>
  <pageSetup paperSize="5" scale="92" orientation="landscape" horizontalDpi="4294967293" verticalDpi="0" r:id="rId1"/>
  <headerFooter alignWithMargins="0"/>
  <rowBreaks count="1" manualBreakCount="1">
    <brk id="47" max="16383" man="1"/>
  </rowBreaks>
  <colBreaks count="1" manualBreakCount="1">
    <brk id="19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0E8EC-3411-414F-A198-7AE0ACFC7612}">
  <sheetPr codeName="Sheet3">
    <tabColor theme="9" tint="0.79998168889431442"/>
  </sheetPr>
  <dimension ref="A1:N40"/>
  <sheetViews>
    <sheetView zoomScale="130" zoomScaleNormal="130" workbookViewId="0">
      <selection activeCell="A20" sqref="A20"/>
    </sheetView>
    <sheetView workbookViewId="1"/>
  </sheetViews>
  <sheetFormatPr baseColWidth="10" defaultColWidth="10.83203125" defaultRowHeight="13" x14ac:dyDescent="0.15"/>
  <cols>
    <col min="1" max="1" width="37.1640625" style="249" customWidth="1"/>
    <col min="2" max="3" width="14" style="249" customWidth="1"/>
    <col min="4" max="4" width="11.1640625" style="249" bestFit="1" customWidth="1"/>
    <col min="5" max="5" width="13.1640625" style="249" customWidth="1"/>
    <col min="6" max="7" width="10.83203125" style="249"/>
    <col min="8" max="8" width="13.83203125" style="249" customWidth="1"/>
    <col min="9" max="13" width="10.83203125" style="249"/>
    <col min="14" max="14" width="11.1640625" style="249" bestFit="1" customWidth="1"/>
    <col min="15" max="16384" width="10.83203125" style="249"/>
  </cols>
  <sheetData>
    <row r="1" spans="1:12" x14ac:dyDescent="0.15">
      <c r="A1" s="290" t="s">
        <v>216</v>
      </c>
      <c r="B1" s="291">
        <f>'Quality Center Profile'!E25/2080</f>
        <v>21.060000000000002</v>
      </c>
    </row>
    <row r="2" spans="1:12" x14ac:dyDescent="0.15">
      <c r="A2" s="292" t="s">
        <v>120</v>
      </c>
      <c r="B2" s="293">
        <f>'Quality Center Profile'!A24+'Quality Center Profile'!A26</f>
        <v>5</v>
      </c>
    </row>
    <row r="3" spans="1:12" x14ac:dyDescent="0.15">
      <c r="A3" s="292" t="s">
        <v>217</v>
      </c>
      <c r="B3" s="293">
        <f>'Quality Center Profile'!A25+'Quality Center Profile'!A27</f>
        <v>5</v>
      </c>
    </row>
    <row r="4" spans="1:12" x14ac:dyDescent="0.15">
      <c r="A4" s="292" t="s">
        <v>218</v>
      </c>
      <c r="B4" s="293">
        <f>SUM('Quality Center Profile'!A19:A20)</f>
        <v>2</v>
      </c>
    </row>
    <row r="5" spans="1:12" s="296" customFormat="1" x14ac:dyDescent="0.15">
      <c r="A5" s="294"/>
      <c r="B5" s="295"/>
    </row>
    <row r="6" spans="1:12" x14ac:dyDescent="0.15">
      <c r="A6" s="297" t="s">
        <v>219</v>
      </c>
      <c r="B6" s="298">
        <f>'VariablesINPUT-CTR'!G15</f>
        <v>94</v>
      </c>
      <c r="C6" s="249">
        <f>SUM('VariablesINPUT-CTR'!G9:G10,'VariablesINPUT-CTR'!G12:G13)</f>
        <v>64</v>
      </c>
    </row>
    <row r="8" spans="1:12" x14ac:dyDescent="0.15">
      <c r="A8" s="299" t="s">
        <v>45</v>
      </c>
      <c r="B8" s="269" t="s">
        <v>5</v>
      </c>
      <c r="C8" s="269" t="s">
        <v>18</v>
      </c>
      <c r="D8" s="269" t="s">
        <v>220</v>
      </c>
      <c r="E8" s="269" t="s">
        <v>221</v>
      </c>
      <c r="F8" s="269"/>
    </row>
    <row r="9" spans="1:12" ht="12" customHeight="1" x14ac:dyDescent="0.15">
      <c r="A9" s="249" t="s">
        <v>222</v>
      </c>
      <c r="C9" s="280">
        <f>2*B6*B1*2</f>
        <v>7918.5600000000013</v>
      </c>
      <c r="D9" s="280">
        <f>2*B6*B1*3</f>
        <v>11877.840000000002</v>
      </c>
      <c r="E9" s="280">
        <f>4*B6*B1*3</f>
        <v>23755.680000000004</v>
      </c>
      <c r="F9" s="280"/>
      <c r="G9" s="249" t="s">
        <v>223</v>
      </c>
    </row>
    <row r="10" spans="1:12" x14ac:dyDescent="0.15">
      <c r="A10" s="249" t="s">
        <v>224</v>
      </c>
      <c r="D10" s="82"/>
      <c r="E10" s="82">
        <f>B6/40*G10</f>
        <v>113194.8</v>
      </c>
      <c r="F10" s="280"/>
      <c r="G10" s="280">
        <f>Wages!J11</f>
        <v>48168</v>
      </c>
      <c r="H10" s="308" t="s">
        <v>383</v>
      </c>
      <c r="L10" s="384">
        <f>C6/46</f>
        <v>1.3913043478260869</v>
      </c>
    </row>
    <row r="11" spans="1:12" x14ac:dyDescent="0.15">
      <c r="A11" s="300" t="s">
        <v>76</v>
      </c>
      <c r="B11" s="301">
        <f>SUM(B9:B10)</f>
        <v>0</v>
      </c>
      <c r="C11" s="81">
        <f>SUM(C9:C10)</f>
        <v>7918.5600000000013</v>
      </c>
      <c r="D11" s="81">
        <f>SUM(D9:D10)</f>
        <v>11877.840000000002</v>
      </c>
      <c r="E11" s="81">
        <f>SUM(E9:E10)</f>
        <v>136950.48000000001</v>
      </c>
      <c r="F11" s="81">
        <f>SUM(F9:F10)</f>
        <v>0</v>
      </c>
    </row>
    <row r="13" spans="1:12" x14ac:dyDescent="0.15">
      <c r="A13" s="299" t="s">
        <v>51</v>
      </c>
      <c r="B13" s="269" t="str">
        <f>B8</f>
        <v>Licensing</v>
      </c>
      <c r="C13" s="269" t="str">
        <f t="shared" ref="C13:F13" si="0">C8</f>
        <v>Point 2</v>
      </c>
      <c r="D13" s="269" t="str">
        <f t="shared" si="0"/>
        <v>Point 3</v>
      </c>
      <c r="E13" s="269" t="str">
        <f t="shared" si="0"/>
        <v>Point 4</v>
      </c>
      <c r="F13" s="269">
        <f t="shared" si="0"/>
        <v>0</v>
      </c>
    </row>
    <row r="14" spans="1:12" x14ac:dyDescent="0.15">
      <c r="A14" s="249" t="s">
        <v>225</v>
      </c>
      <c r="B14" s="302"/>
      <c r="C14" s="302"/>
      <c r="D14" s="302"/>
      <c r="E14" s="302">
        <f>B4*B1*40</f>
        <v>1684.8000000000002</v>
      </c>
      <c r="F14" s="302"/>
      <c r="G14" s="249" t="s">
        <v>226</v>
      </c>
    </row>
    <row r="15" spans="1:12" x14ac:dyDescent="0.15">
      <c r="A15" s="249" t="s">
        <v>227</v>
      </c>
      <c r="B15" s="302"/>
      <c r="C15" s="302"/>
      <c r="D15" s="302"/>
      <c r="E15" s="302">
        <f>SUM(B2,B3)*B1*40</f>
        <v>8424</v>
      </c>
      <c r="F15" s="302"/>
    </row>
    <row r="16" spans="1:12" x14ac:dyDescent="0.15">
      <c r="A16" s="249" t="s">
        <v>228</v>
      </c>
      <c r="B16" s="302"/>
      <c r="C16" s="302">
        <f>SUM(B2*B1)*2*52</f>
        <v>10951.2</v>
      </c>
      <c r="D16" s="302" cm="1">
        <f t="array" ref="D16">SUM((B2:B3)*B1)*5*52</f>
        <v>54756</v>
      </c>
      <c r="E16" s="302">
        <f>SUM(B2:B3)*B1*7*52</f>
        <v>76658.400000000009</v>
      </c>
      <c r="F16" s="302"/>
    </row>
    <row r="17" spans="1:14" x14ac:dyDescent="0.15">
      <c r="A17" s="249" t="s">
        <v>229</v>
      </c>
      <c r="B17" s="302"/>
      <c r="C17" s="302"/>
      <c r="D17" s="302"/>
      <c r="E17" s="302">
        <f>L17*G17</f>
        <v>62013.600000000006</v>
      </c>
      <c r="F17" s="302"/>
      <c r="G17" s="249">
        <f>Wages!I11</f>
        <v>62013.600000000006</v>
      </c>
      <c r="H17" s="249" t="s">
        <v>230</v>
      </c>
      <c r="L17" s="249">
        <f>IF(C6&lt;46,0.25,IF(C6&lt;64,0.5,IF(C6&lt;93,1,0)))</f>
        <v>1</v>
      </c>
    </row>
    <row r="18" spans="1:14" x14ac:dyDescent="0.15">
      <c r="A18" s="300" t="s">
        <v>76</v>
      </c>
      <c r="B18" s="303">
        <f>SUM(B14:B16)</f>
        <v>0</v>
      </c>
      <c r="C18" s="303">
        <f t="shared" ref="C18:F18" si="1">SUM(C14:C16)</f>
        <v>10951.2</v>
      </c>
      <c r="D18" s="303">
        <f t="shared" si="1"/>
        <v>54756</v>
      </c>
      <c r="E18" s="303">
        <f t="shared" si="1"/>
        <v>86767.200000000012</v>
      </c>
      <c r="F18" s="303">
        <f t="shared" si="1"/>
        <v>0</v>
      </c>
    </row>
    <row r="20" spans="1:14" x14ac:dyDescent="0.15">
      <c r="A20" s="299" t="s">
        <v>52</v>
      </c>
      <c r="B20" s="269" t="str">
        <f>B13</f>
        <v>Licensing</v>
      </c>
      <c r="C20" s="269" t="str">
        <f t="shared" ref="C20:F20" si="2">C13</f>
        <v>Point 2</v>
      </c>
      <c r="D20" s="269" t="str">
        <f t="shared" si="2"/>
        <v>Point 3</v>
      </c>
      <c r="E20" s="269" t="str">
        <f t="shared" si="2"/>
        <v>Point 4</v>
      </c>
      <c r="F20" s="269">
        <f t="shared" si="2"/>
        <v>0</v>
      </c>
    </row>
    <row r="21" spans="1:14" x14ac:dyDescent="0.15">
      <c r="A21" s="269"/>
      <c r="B21" s="269"/>
      <c r="C21" s="269"/>
      <c r="D21" s="302">
        <f>150*3*52</f>
        <v>23400</v>
      </c>
      <c r="E21" s="302">
        <f>150*5*52</f>
        <v>39000</v>
      </c>
      <c r="F21" s="302"/>
      <c r="G21" s="249" t="s">
        <v>231</v>
      </c>
    </row>
    <row r="22" spans="1:14" x14ac:dyDescent="0.15">
      <c r="A22" s="300" t="s">
        <v>76</v>
      </c>
      <c r="B22" s="304">
        <f>B21</f>
        <v>0</v>
      </c>
      <c r="C22" s="304">
        <f t="shared" ref="C22:F22" si="3">C21</f>
        <v>0</v>
      </c>
      <c r="D22" s="304">
        <f t="shared" si="3"/>
        <v>23400</v>
      </c>
      <c r="E22" s="304">
        <f t="shared" si="3"/>
        <v>39000</v>
      </c>
      <c r="F22" s="304">
        <f t="shared" si="3"/>
        <v>0</v>
      </c>
    </row>
    <row r="23" spans="1:14" x14ac:dyDescent="0.15">
      <c r="A23" s="305"/>
      <c r="B23" s="280"/>
      <c r="C23" s="280"/>
      <c r="D23" s="280"/>
      <c r="E23" s="280"/>
      <c r="F23" s="280"/>
    </row>
    <row r="24" spans="1:14" x14ac:dyDescent="0.15">
      <c r="A24" s="299" t="s">
        <v>53</v>
      </c>
      <c r="B24" s="280" t="str">
        <f>B20</f>
        <v>Licensing</v>
      </c>
      <c r="C24" s="280" t="str">
        <f t="shared" ref="C24:F24" si="4">C20</f>
        <v>Point 2</v>
      </c>
      <c r="D24" s="280" t="str">
        <f t="shared" si="4"/>
        <v>Point 3</v>
      </c>
      <c r="E24" s="280" t="str">
        <f t="shared" si="4"/>
        <v>Point 4</v>
      </c>
      <c r="F24" s="280">
        <f t="shared" si="4"/>
        <v>0</v>
      </c>
    </row>
    <row r="25" spans="1:14" x14ac:dyDescent="0.15">
      <c r="A25" s="249" t="s">
        <v>232</v>
      </c>
      <c r="B25" s="280"/>
      <c r="C25" s="280">
        <f>50*B6</f>
        <v>4700</v>
      </c>
      <c r="D25" s="280">
        <f>75*B6</f>
        <v>7050</v>
      </c>
      <c r="E25" s="280">
        <f>100*B6</f>
        <v>9400</v>
      </c>
      <c r="F25" s="280"/>
    </row>
    <row r="26" spans="1:14" x14ac:dyDescent="0.15">
      <c r="A26" s="300" t="s">
        <v>76</v>
      </c>
      <c r="B26" s="81">
        <f>SUM(B25)</f>
        <v>0</v>
      </c>
      <c r="C26" s="81">
        <f>SUM(C25)</f>
        <v>4700</v>
      </c>
      <c r="D26" s="81">
        <f>SUM(D25)</f>
        <v>7050</v>
      </c>
      <c r="E26" s="81">
        <f>SUM(E25)</f>
        <v>9400</v>
      </c>
      <c r="F26" s="81">
        <f>SUM(F25)</f>
        <v>0</v>
      </c>
    </row>
    <row r="27" spans="1:14" x14ac:dyDescent="0.15">
      <c r="A27" s="305"/>
      <c r="B27" s="237"/>
      <c r="C27" s="237"/>
      <c r="D27" s="237"/>
      <c r="E27" s="237"/>
      <c r="F27" s="237"/>
    </row>
    <row r="28" spans="1:14" x14ac:dyDescent="0.15">
      <c r="A28" s="299" t="s">
        <v>54</v>
      </c>
      <c r="B28" s="269" t="str">
        <f>B20</f>
        <v>Licensing</v>
      </c>
      <c r="C28" s="269" t="str">
        <f t="shared" ref="C28:F28" si="5">C20</f>
        <v>Point 2</v>
      </c>
      <c r="D28" s="269" t="str">
        <f t="shared" si="5"/>
        <v>Point 3</v>
      </c>
      <c r="E28" s="269" t="str">
        <f t="shared" si="5"/>
        <v>Point 4</v>
      </c>
      <c r="F28" s="269">
        <f t="shared" si="5"/>
        <v>0</v>
      </c>
    </row>
    <row r="29" spans="1:14" x14ac:dyDescent="0.15">
      <c r="A29" s="269"/>
      <c r="B29" s="269"/>
      <c r="C29" s="269"/>
      <c r="D29" s="445">
        <f>'VariablesINPUT-CTR'!B15*60*(G29/2080)</f>
        <v>8944.2692307692323</v>
      </c>
      <c r="E29" s="280">
        <f>SUM(G29/2080)*'VariablesINPUT-CTR'!B15*I29</f>
        <v>28621.661538461543</v>
      </c>
      <c r="F29" s="269"/>
      <c r="G29" s="249">
        <f>Wages!I11</f>
        <v>62013.600000000006</v>
      </c>
      <c r="H29" s="249" t="s">
        <v>233</v>
      </c>
      <c r="I29" s="249">
        <f>16*12</f>
        <v>192</v>
      </c>
      <c r="J29" s="249" t="s">
        <v>384</v>
      </c>
    </row>
    <row r="30" spans="1:14" x14ac:dyDescent="0.15">
      <c r="A30" s="300" t="s">
        <v>76</v>
      </c>
      <c r="B30" s="81">
        <f>SUM(B29)</f>
        <v>0</v>
      </c>
      <c r="C30" s="81">
        <f>SUM(C29)</f>
        <v>0</v>
      </c>
      <c r="D30" s="81">
        <f>SUM(D29)</f>
        <v>8944.2692307692323</v>
      </c>
      <c r="E30" s="81">
        <f>SUM(E29)</f>
        <v>28621.661538461543</v>
      </c>
      <c r="F30" s="81">
        <f>SUM(F29)</f>
        <v>0</v>
      </c>
      <c r="J30" s="249" t="s">
        <v>385</v>
      </c>
    </row>
    <row r="31" spans="1:14" x14ac:dyDescent="0.15">
      <c r="L31" s="473"/>
    </row>
    <row r="32" spans="1:14" x14ac:dyDescent="0.15">
      <c r="A32" s="299" t="s">
        <v>55</v>
      </c>
      <c r="B32" s="269" t="str">
        <f>B28</f>
        <v>Licensing</v>
      </c>
      <c r="C32" s="269" t="str">
        <f t="shared" ref="C32:F32" si="6">C28</f>
        <v>Point 2</v>
      </c>
      <c r="D32" s="269" t="str">
        <f t="shared" si="6"/>
        <v>Point 3</v>
      </c>
      <c r="E32" s="269" t="str">
        <f t="shared" si="6"/>
        <v>Point 4</v>
      </c>
      <c r="F32" s="269">
        <f t="shared" si="6"/>
        <v>0</v>
      </c>
      <c r="L32" s="277"/>
      <c r="N32" s="277"/>
    </row>
    <row r="33" spans="1:7" x14ac:dyDescent="0.15">
      <c r="A33" s="249" t="s">
        <v>232</v>
      </c>
      <c r="D33" s="277"/>
      <c r="E33" s="277">
        <f>'VariablesINPUT-CTR'!D38*250</f>
        <v>0</v>
      </c>
      <c r="G33" s="249" t="s">
        <v>234</v>
      </c>
    </row>
    <row r="34" spans="1:7" x14ac:dyDescent="0.15">
      <c r="A34" s="300" t="s">
        <v>76</v>
      </c>
      <c r="B34" s="304"/>
      <c r="C34" s="304"/>
      <c r="D34" s="81">
        <f>SUM(D33:D33)</f>
        <v>0</v>
      </c>
      <c r="E34" s="81">
        <f>SUM(E33:E33)</f>
        <v>0</v>
      </c>
      <c r="F34" s="81">
        <f>SUM(F33:F33)</f>
        <v>0</v>
      </c>
    </row>
    <row r="40" spans="1:7" x14ac:dyDescent="0.15">
      <c r="E40" s="249">
        <f>80/5</f>
        <v>16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F5213-C695-084A-9AED-39EF5A4B6C60}">
  <sheetPr codeName="Sheet4">
    <tabColor theme="0" tint="-0.14999847407452621"/>
  </sheetPr>
  <dimension ref="A1:J55"/>
  <sheetViews>
    <sheetView workbookViewId="0">
      <selection activeCell="A20" sqref="A20"/>
    </sheetView>
    <sheetView workbookViewId="1">
      <selection activeCell="G9" sqref="G9"/>
    </sheetView>
  </sheetViews>
  <sheetFormatPr baseColWidth="10" defaultColWidth="10.83203125" defaultRowHeight="13" x14ac:dyDescent="0.15"/>
  <cols>
    <col min="1" max="1" width="26.6640625" style="249" customWidth="1"/>
    <col min="2" max="2" width="12" style="249" bestFit="1" customWidth="1"/>
    <col min="3" max="3" width="13.1640625" style="249" customWidth="1"/>
    <col min="4" max="4" width="14" style="249" customWidth="1"/>
    <col min="5" max="5" width="15.5" style="249" customWidth="1"/>
    <col min="6" max="6" width="14.1640625" style="249" customWidth="1"/>
    <col min="7" max="8" width="10.83203125" style="249"/>
    <col min="9" max="9" width="26.5" style="249" customWidth="1"/>
    <col min="10" max="16384" width="10.83203125" style="249"/>
  </cols>
  <sheetData>
    <row r="1" spans="1:10" x14ac:dyDescent="0.15">
      <c r="A1" s="268"/>
      <c r="B1" s="249" t="s">
        <v>235</v>
      </c>
      <c r="D1" s="443">
        <v>0.08</v>
      </c>
      <c r="G1" s="249">
        <v>4.0999999999999996</v>
      </c>
    </row>
    <row r="2" spans="1:10" x14ac:dyDescent="0.15">
      <c r="A2" s="269" t="s">
        <v>5</v>
      </c>
      <c r="B2" s="269"/>
      <c r="C2" s="269"/>
      <c r="D2" s="269"/>
      <c r="E2" s="533"/>
      <c r="F2" s="533"/>
    </row>
    <row r="3" spans="1:10" x14ac:dyDescent="0.15">
      <c r="A3" s="270"/>
      <c r="B3" s="271" t="s">
        <v>33</v>
      </c>
      <c r="C3" s="271" t="s">
        <v>236</v>
      </c>
      <c r="D3" s="271" t="s">
        <v>237</v>
      </c>
      <c r="E3" s="272" t="s">
        <v>43</v>
      </c>
      <c r="F3" s="272" t="s">
        <v>35</v>
      </c>
      <c r="G3" s="273" t="s">
        <v>238</v>
      </c>
      <c r="I3" s="249" t="s">
        <v>239</v>
      </c>
      <c r="J3" s="249" t="s">
        <v>240</v>
      </c>
    </row>
    <row r="4" spans="1:10" x14ac:dyDescent="0.15">
      <c r="A4" s="249" t="s">
        <v>241</v>
      </c>
      <c r="B4" s="315">
        <f>SUM(52416*(1+$D$1))</f>
        <v>56609.280000000006</v>
      </c>
      <c r="C4" s="315">
        <f t="shared" ref="C4:C9" si="0">B4*0.8</f>
        <v>45287.424000000006</v>
      </c>
      <c r="D4" s="451">
        <f>G4</f>
        <v>31200</v>
      </c>
      <c r="E4" s="315">
        <f>SUM(31270*(1+$D$1))</f>
        <v>33771.600000000006</v>
      </c>
      <c r="F4" s="451">
        <f>G4</f>
        <v>31200</v>
      </c>
      <c r="G4" s="454">
        <f>E47</f>
        <v>31200</v>
      </c>
      <c r="H4" s="453" t="s">
        <v>5</v>
      </c>
    </row>
    <row r="5" spans="1:10" x14ac:dyDescent="0.15">
      <c r="A5" s="274" t="s">
        <v>242</v>
      </c>
      <c r="B5" s="451">
        <f>B6</f>
        <v>53028</v>
      </c>
      <c r="C5" s="452">
        <f t="shared" si="0"/>
        <v>42422.400000000001</v>
      </c>
      <c r="D5" s="275">
        <f>SUM(31200*(1+$D$1))</f>
        <v>33696</v>
      </c>
      <c r="E5" s="452">
        <f>SUM(35800*(1+$D$1))</f>
        <v>38664</v>
      </c>
      <c r="F5" s="197">
        <f>SUM(35880*(1+$D$1))</f>
        <v>38750.400000000001</v>
      </c>
      <c r="G5" s="17"/>
      <c r="H5" s="450" t="s">
        <v>243</v>
      </c>
    </row>
    <row r="6" spans="1:10" x14ac:dyDescent="0.15">
      <c r="A6" s="274" t="s">
        <v>244</v>
      </c>
      <c r="B6" s="455">
        <f>SUM(49100*(1+$D$1))</f>
        <v>53028</v>
      </c>
      <c r="C6" s="456">
        <f t="shared" si="0"/>
        <v>42422.400000000001</v>
      </c>
      <c r="D6" s="471">
        <f>SUM(35880*(1+$D$1))</f>
        <v>38750.400000000001</v>
      </c>
      <c r="E6" s="449">
        <f>SUM(44600*(1+$D$1))</f>
        <v>48168</v>
      </c>
      <c r="F6" s="470">
        <f>SUM(40560*(1+$D$1))</f>
        <v>43804.800000000003</v>
      </c>
      <c r="G6" s="17"/>
      <c r="H6" s="467" t="s">
        <v>245</v>
      </c>
    </row>
    <row r="7" spans="1:10" x14ac:dyDescent="0.15">
      <c r="A7" s="274" t="s">
        <v>246</v>
      </c>
      <c r="B7" s="448">
        <f>SUM(63800*(1+$D$1))</f>
        <v>68904</v>
      </c>
      <c r="C7" s="197">
        <f t="shared" si="0"/>
        <v>55123.200000000004</v>
      </c>
      <c r="D7" s="316">
        <f>SUM(40560*(1+$D$1))</f>
        <v>43804.800000000003</v>
      </c>
      <c r="E7" s="469">
        <f>SUM(58000*(1+$D$1))</f>
        <v>62640.000000000007</v>
      </c>
      <c r="F7" s="314">
        <f>SUM(52700*(1+$D$1))</f>
        <v>56916.000000000007</v>
      </c>
      <c r="G7" s="17"/>
    </row>
    <row r="8" spans="1:10" x14ac:dyDescent="0.15">
      <c r="A8" s="274" t="s">
        <v>247</v>
      </c>
      <c r="B8" s="468">
        <f>SUM(73300*(1+$D$1))</f>
        <v>79164</v>
      </c>
      <c r="C8" s="469">
        <f t="shared" si="0"/>
        <v>63331.200000000004</v>
      </c>
      <c r="D8" s="316">
        <f>SUM(40560*(1+$D$1))</f>
        <v>43804.800000000003</v>
      </c>
      <c r="E8" s="314">
        <f>SUM(66700*(1+$D$1))</f>
        <v>72036</v>
      </c>
      <c r="F8" s="314">
        <f>SUM(60600*(1+$D$1))</f>
        <v>65448.000000000007</v>
      </c>
      <c r="G8" s="17"/>
    </row>
    <row r="9" spans="1:10" ht="11" customHeight="1" x14ac:dyDescent="0.15">
      <c r="A9" s="274" t="s">
        <v>248</v>
      </c>
      <c r="B9" s="315">
        <f>SUM(84150*(1+$D$1))</f>
        <v>90882</v>
      </c>
      <c r="C9" s="314">
        <f t="shared" si="0"/>
        <v>72705.600000000006</v>
      </c>
      <c r="D9" s="316">
        <f>SUM(40560*(1+$D$1))</f>
        <v>43804.800000000003</v>
      </c>
      <c r="E9" s="314">
        <f>SUM(76500*(1+$D$1))</f>
        <v>82620</v>
      </c>
      <c r="F9" s="314">
        <f>SUM(60600*(1+$D$1))</f>
        <v>65448.000000000007</v>
      </c>
    </row>
    <row r="10" spans="1:10" x14ac:dyDescent="0.15">
      <c r="A10" s="84"/>
      <c r="B10" s="57"/>
      <c r="C10" s="57"/>
    </row>
    <row r="11" spans="1:10" ht="41" customHeight="1" x14ac:dyDescent="0.15">
      <c r="A11" s="278" t="s">
        <v>249</v>
      </c>
      <c r="B11" s="57">
        <f>('VariablesINPUT-CTR'!C21*B5)+('VariablesINPUT-CTR'!C22*B6)+('VariablesINPUT-CTR'!C23*B7)+('VariablesINPUT-CTR'!C24*B8)+('VariablesINPUT-CTR'!C25*B9)</f>
        <v>68904</v>
      </c>
      <c r="C11" s="57">
        <f>B11*0.8</f>
        <v>55123.200000000004</v>
      </c>
      <c r="D11" s="57">
        <f>('VariablesINPUT-CTR'!E21*D5)+('VariablesINPUT-CTR'!E22*D6)+('VariablesINPUT-CTR'!E23*D7)+('VariablesINPUT-CTR'!E24*D8)+('VariablesINPUT-CTR'!E25*D9)</f>
        <v>38750.400000000001</v>
      </c>
      <c r="E11" s="276">
        <f>('VariablesINPUT-CTR'!D21*E5)+('VariablesINPUT-CTR'!D22*E6)+('VariablesINPUT-CTR'!D23*E7)+('VariablesINPUT-CTR'!D24*E8)+('VariablesINPUT-CTR'!D25*E9)</f>
        <v>48168</v>
      </c>
      <c r="F11" s="276">
        <f>('VariablesINPUT-CTR'!E21*F5)+('VariablesINPUT-CTR'!E22*F6)+('VariablesINPUT-CTR'!E23*F7)+('VariablesINPUT-CTR'!E24*F8)+('VariablesINPUT-CTR'!E25*F9)</f>
        <v>43804.800000000003</v>
      </c>
      <c r="I11" s="276">
        <f>AVERAGE(B11:C11)</f>
        <v>62013.600000000006</v>
      </c>
      <c r="J11" s="276">
        <f>E11</f>
        <v>48168</v>
      </c>
    </row>
    <row r="12" spans="1:10" x14ac:dyDescent="0.15">
      <c r="A12" s="268"/>
      <c r="B12" s="277"/>
      <c r="C12" s="277"/>
      <c r="D12" s="277"/>
      <c r="E12" s="277">
        <f>E11/2080</f>
        <v>23.157692307692308</v>
      </c>
    </row>
    <row r="13" spans="1:10" hidden="1" x14ac:dyDescent="0.15">
      <c r="A13" s="269" t="s">
        <v>18</v>
      </c>
      <c r="B13" s="269"/>
      <c r="C13" s="269"/>
      <c r="D13" s="269"/>
      <c r="E13" s="533" t="s">
        <v>250</v>
      </c>
      <c r="F13" s="533"/>
    </row>
    <row r="14" spans="1:10" hidden="1" x14ac:dyDescent="0.15">
      <c r="B14" s="271" t="s">
        <v>33</v>
      </c>
      <c r="C14" s="271" t="s">
        <v>236</v>
      </c>
      <c r="D14" s="271" t="s">
        <v>237</v>
      </c>
      <c r="E14" s="272" t="s">
        <v>43</v>
      </c>
      <c r="F14" s="272" t="s">
        <v>34</v>
      </c>
    </row>
    <row r="15" spans="1:10" hidden="1" x14ac:dyDescent="0.15">
      <c r="A15" s="274" t="s">
        <v>251</v>
      </c>
      <c r="B15" s="197"/>
      <c r="C15" s="197">
        <f>B15*0.8</f>
        <v>0</v>
      </c>
      <c r="D15" s="279"/>
      <c r="E15" s="198"/>
      <c r="F15" s="199"/>
    </row>
    <row r="16" spans="1:10" hidden="1" x14ac:dyDescent="0.15">
      <c r="A16" s="274" t="s">
        <v>252</v>
      </c>
      <c r="B16" s="233"/>
      <c r="C16" s="197">
        <f>B16*0.8</f>
        <v>0</v>
      </c>
      <c r="D16" s="279"/>
      <c r="E16" s="199"/>
      <c r="F16" s="199"/>
    </row>
    <row r="17" spans="1:6" hidden="1" x14ac:dyDescent="0.15">
      <c r="A17" s="274" t="s">
        <v>253</v>
      </c>
      <c r="B17" s="233"/>
      <c r="C17" s="197">
        <f>B17*0.8</f>
        <v>0</v>
      </c>
      <c r="D17" s="279"/>
      <c r="E17" s="198"/>
      <c r="F17" s="199"/>
    </row>
    <row r="18" spans="1:6" hidden="1" x14ac:dyDescent="0.15">
      <c r="A18" s="274" t="s">
        <v>254</v>
      </c>
      <c r="B18" s="233"/>
      <c r="C18" s="197">
        <f>B18*0.8</f>
        <v>0</v>
      </c>
      <c r="D18" s="279"/>
      <c r="E18" s="198"/>
      <c r="F18" s="199"/>
    </row>
    <row r="19" spans="1:6" hidden="1" x14ac:dyDescent="0.15">
      <c r="A19" s="274" t="s">
        <v>255</v>
      </c>
      <c r="B19" s="233"/>
      <c r="C19" s="197">
        <f>B19*0.8</f>
        <v>0</v>
      </c>
      <c r="D19" s="279"/>
      <c r="E19" s="198"/>
      <c r="F19" s="199"/>
    </row>
    <row r="20" spans="1:6" hidden="1" x14ac:dyDescent="0.15">
      <c r="A20" s="234"/>
      <c r="B20" s="57"/>
      <c r="C20" s="57"/>
      <c r="E20" s="235"/>
      <c r="F20" s="234"/>
    </row>
    <row r="21" spans="1:6" hidden="1" x14ac:dyDescent="0.15">
      <c r="A21" s="278" t="s">
        <v>249</v>
      </c>
      <c r="B21" s="57">
        <v>0</v>
      </c>
      <c r="C21" s="57">
        <f>B21*0.8</f>
        <v>0</v>
      </c>
      <c r="D21" s="249" t="e">
        <f>AVERAGE(D15:D19)</f>
        <v>#DIV/0!</v>
      </c>
      <c r="E21" s="277">
        <v>0</v>
      </c>
      <c r="F21" s="277" t="e">
        <v>#VALUE!</v>
      </c>
    </row>
    <row r="22" spans="1:6" hidden="1" x14ac:dyDescent="0.15"/>
    <row r="23" spans="1:6" hidden="1" x14ac:dyDescent="0.15">
      <c r="A23" s="269"/>
      <c r="B23" s="269"/>
      <c r="C23" s="269"/>
      <c r="D23" s="269"/>
      <c r="E23" s="533" t="s">
        <v>250</v>
      </c>
      <c r="F23" s="533"/>
    </row>
    <row r="24" spans="1:6" hidden="1" x14ac:dyDescent="0.15">
      <c r="A24" s="270"/>
      <c r="B24" s="271" t="s">
        <v>33</v>
      </c>
      <c r="C24" s="271" t="s">
        <v>236</v>
      </c>
      <c r="D24" s="271" t="s">
        <v>237</v>
      </c>
      <c r="E24" s="272" t="s">
        <v>43</v>
      </c>
      <c r="F24" s="272" t="s">
        <v>34</v>
      </c>
    </row>
    <row r="25" spans="1:6" hidden="1" x14ac:dyDescent="0.15">
      <c r="A25" s="274" t="s">
        <v>251</v>
      </c>
      <c r="B25" s="197" t="e">
        <f>SUM((#REF!*#REF!),#REF!)</f>
        <v>#REF!</v>
      </c>
      <c r="C25" s="197" t="e">
        <f>B25*0.8</f>
        <v>#REF!</v>
      </c>
      <c r="D25" s="275">
        <v>29120</v>
      </c>
      <c r="E25" s="197" t="e">
        <f>#REF!</f>
        <v>#REF!</v>
      </c>
      <c r="F25" s="197" t="e">
        <f>#REF!</f>
        <v>#REF!</v>
      </c>
    </row>
    <row r="26" spans="1:6" hidden="1" x14ac:dyDescent="0.15">
      <c r="A26" s="274" t="s">
        <v>252</v>
      </c>
      <c r="B26" s="197" t="e">
        <f>SUM((#REF!*#REF!),#REF!)</f>
        <v>#REF!</v>
      </c>
      <c r="C26" s="197" t="e">
        <f>B26*0.8</f>
        <v>#REF!</v>
      </c>
      <c r="D26" s="275" t="e">
        <f>F26</f>
        <v>#REF!</v>
      </c>
      <c r="E26" s="197" t="e">
        <f>#REF!</f>
        <v>#REF!</v>
      </c>
      <c r="F26" s="197" t="e">
        <f>#REF!</f>
        <v>#REF!</v>
      </c>
    </row>
    <row r="27" spans="1:6" hidden="1" x14ac:dyDescent="0.15">
      <c r="A27" s="274" t="s">
        <v>253</v>
      </c>
      <c r="B27" s="197" t="e">
        <f>SUM((#REF!*#REF!),#REF!)</f>
        <v>#REF!</v>
      </c>
      <c r="C27" s="197" t="e">
        <f>B27*0.8</f>
        <v>#REF!</v>
      </c>
      <c r="D27" s="275" t="e">
        <f>F27</f>
        <v>#REF!</v>
      </c>
      <c r="E27" s="197" t="e">
        <f>#REF!</f>
        <v>#REF!</v>
      </c>
      <c r="F27" s="197" t="e">
        <f>#REF!</f>
        <v>#REF!</v>
      </c>
    </row>
    <row r="28" spans="1:6" hidden="1" x14ac:dyDescent="0.15">
      <c r="A28" s="274" t="s">
        <v>254</v>
      </c>
      <c r="B28" s="197" t="e">
        <f>SUM((#REF!*#REF!),#REF!)</f>
        <v>#REF!</v>
      </c>
      <c r="C28" s="197" t="e">
        <f>B28*0.8</f>
        <v>#REF!</v>
      </c>
      <c r="D28" s="275" t="e">
        <f>F28</f>
        <v>#REF!</v>
      </c>
      <c r="E28" s="197" t="e">
        <f>#REF!</f>
        <v>#REF!</v>
      </c>
      <c r="F28" s="197" t="e">
        <f>#REF!</f>
        <v>#REF!</v>
      </c>
    </row>
    <row r="29" spans="1:6" hidden="1" x14ac:dyDescent="0.15">
      <c r="A29" s="274" t="s">
        <v>255</v>
      </c>
      <c r="B29" s="197" t="e">
        <f>SUM((#REF!*#REF!),#REF!)</f>
        <v>#REF!</v>
      </c>
      <c r="C29" s="197" t="e">
        <f>B29*0.8</f>
        <v>#REF!</v>
      </c>
      <c r="D29" s="275" t="e">
        <f>F29</f>
        <v>#REF!</v>
      </c>
      <c r="E29" s="197" t="e">
        <f>#REF!</f>
        <v>#REF!</v>
      </c>
      <c r="F29" s="197" t="e">
        <f>#REF!</f>
        <v>#REF!</v>
      </c>
    </row>
    <row r="30" spans="1:6" hidden="1" x14ac:dyDescent="0.15">
      <c r="A30" s="234"/>
      <c r="B30" s="57"/>
      <c r="C30" s="57"/>
      <c r="E30" s="235"/>
      <c r="F30" s="234"/>
    </row>
    <row r="31" spans="1:6" hidden="1" x14ac:dyDescent="0.15">
      <c r="A31" s="278" t="s">
        <v>249</v>
      </c>
      <c r="B31" s="57" t="e">
        <v>#REF!</v>
      </c>
      <c r="C31" s="57" t="e">
        <f>B31*0.8</f>
        <v>#REF!</v>
      </c>
      <c r="D31" s="249" t="e">
        <f>AVERAGE(D25:D29)</f>
        <v>#REF!</v>
      </c>
      <c r="E31" s="57" t="e">
        <v>#REF!</v>
      </c>
      <c r="F31" s="57" t="e">
        <v>#REF!</v>
      </c>
    </row>
    <row r="32" spans="1:6" hidden="1" x14ac:dyDescent="0.15">
      <c r="A32" s="268"/>
      <c r="B32" s="268"/>
      <c r="C32" s="268"/>
      <c r="D32" s="268"/>
      <c r="E32" s="277"/>
      <c r="F32" s="277"/>
    </row>
    <row r="33" spans="1:8" hidden="1" x14ac:dyDescent="0.15">
      <c r="A33" s="269" t="s">
        <v>17</v>
      </c>
      <c r="B33" s="269"/>
      <c r="C33" s="269"/>
      <c r="D33" s="269"/>
      <c r="E33" s="533" t="s">
        <v>250</v>
      </c>
      <c r="F33" s="533"/>
    </row>
    <row r="34" spans="1:8" hidden="1" x14ac:dyDescent="0.15">
      <c r="A34" s="281" t="s">
        <v>256</v>
      </c>
      <c r="B34" s="271" t="s">
        <v>33</v>
      </c>
      <c r="C34" s="271" t="s">
        <v>236</v>
      </c>
      <c r="D34" s="271" t="s">
        <v>237</v>
      </c>
      <c r="E34" s="272" t="s">
        <v>43</v>
      </c>
      <c r="F34" s="272" t="s">
        <v>34</v>
      </c>
    </row>
    <row r="35" spans="1:8" hidden="1" x14ac:dyDescent="0.15">
      <c r="A35" s="274" t="s">
        <v>251</v>
      </c>
      <c r="B35" s="197" t="e">
        <f>SUM((#REF!*#REF!),#REF!)</f>
        <v>#REF!</v>
      </c>
      <c r="C35" s="197" t="e">
        <f>B35*0.8</f>
        <v>#REF!</v>
      </c>
      <c r="D35" s="282">
        <v>40123.199999999997</v>
      </c>
      <c r="E35" s="198" t="e">
        <f>#REF!</f>
        <v>#REF!</v>
      </c>
      <c r="F35" s="198" t="e">
        <f>#REF!</f>
        <v>#REF!</v>
      </c>
    </row>
    <row r="36" spans="1:8" hidden="1" x14ac:dyDescent="0.15">
      <c r="A36" s="274" t="s">
        <v>252</v>
      </c>
      <c r="B36" s="197" t="e">
        <f>SUM((#REF!*#REF!),#REF!)</f>
        <v>#REF!</v>
      </c>
      <c r="C36" s="197" t="e">
        <f>B36*0.8</f>
        <v>#REF!</v>
      </c>
      <c r="D36" s="282" t="e">
        <f>F36</f>
        <v>#REF!</v>
      </c>
      <c r="E36" s="197" t="e">
        <f>#REF!</f>
        <v>#REF!</v>
      </c>
      <c r="F36" s="197" t="e">
        <f>#REF!</f>
        <v>#REF!</v>
      </c>
    </row>
    <row r="37" spans="1:8" hidden="1" x14ac:dyDescent="0.15">
      <c r="A37" s="274" t="s">
        <v>253</v>
      </c>
      <c r="B37" s="197" t="e">
        <f>SUM((#REF!*#REF!),#REF!)</f>
        <v>#REF!</v>
      </c>
      <c r="C37" s="197" t="e">
        <f>B37*0.8</f>
        <v>#REF!</v>
      </c>
      <c r="D37" s="282" t="e">
        <f>F37</f>
        <v>#REF!</v>
      </c>
      <c r="E37" s="197" t="e">
        <f>#REF!</f>
        <v>#REF!</v>
      </c>
      <c r="F37" s="197" t="e">
        <f>#REF!</f>
        <v>#REF!</v>
      </c>
    </row>
    <row r="38" spans="1:8" hidden="1" x14ac:dyDescent="0.15">
      <c r="A38" s="274" t="s">
        <v>254</v>
      </c>
      <c r="B38" s="197" t="e">
        <f>SUM((#REF!*#REF!),#REF!)</f>
        <v>#REF!</v>
      </c>
      <c r="C38" s="197" t="e">
        <f>B38*0.8</f>
        <v>#REF!</v>
      </c>
      <c r="D38" s="282" t="e">
        <f>F38</f>
        <v>#REF!</v>
      </c>
      <c r="E38" s="197" t="e">
        <f>#REF!</f>
        <v>#REF!</v>
      </c>
      <c r="F38" s="197" t="e">
        <f>#REF!</f>
        <v>#REF!</v>
      </c>
    </row>
    <row r="39" spans="1:8" hidden="1" x14ac:dyDescent="0.15">
      <c r="A39" s="274" t="s">
        <v>255</v>
      </c>
      <c r="B39" s="197" t="e">
        <f>SUM((#REF!*#REF!),#REF!)</f>
        <v>#REF!</v>
      </c>
      <c r="C39" s="197" t="e">
        <f>B39*0.8</f>
        <v>#REF!</v>
      </c>
      <c r="D39" s="282" t="e">
        <f>F39</f>
        <v>#REF!</v>
      </c>
      <c r="E39" s="198" t="e">
        <f>#REF!</f>
        <v>#REF!</v>
      </c>
      <c r="F39" s="198" t="e">
        <f>#REF!</f>
        <v>#REF!</v>
      </c>
    </row>
    <row r="40" spans="1:8" hidden="1" x14ac:dyDescent="0.15">
      <c r="A40" s="234"/>
      <c r="B40" s="57"/>
      <c r="C40" s="57"/>
      <c r="E40" s="235"/>
      <c r="F40" s="234"/>
    </row>
    <row r="41" spans="1:8" hidden="1" x14ac:dyDescent="0.15">
      <c r="A41" s="278" t="s">
        <v>249</v>
      </c>
      <c r="B41" s="57" t="e">
        <v>#REF!</v>
      </c>
      <c r="C41" s="57" t="e">
        <f>B41*0.8</f>
        <v>#REF!</v>
      </c>
      <c r="D41" s="249" t="e">
        <f>AVERAGE(D35:D39)</f>
        <v>#REF!</v>
      </c>
      <c r="E41" s="276" t="e">
        <v>#REF!</v>
      </c>
      <c r="F41" s="276" t="e">
        <v>#REF!</v>
      </c>
    </row>
    <row r="42" spans="1:8" hidden="1" x14ac:dyDescent="0.15">
      <c r="A42" s="268"/>
      <c r="B42" s="277"/>
      <c r="C42" s="277"/>
      <c r="D42" s="277"/>
      <c r="E42" s="277"/>
      <c r="G42" s="249" t="s">
        <v>257</v>
      </c>
      <c r="H42" s="249">
        <v>26395</v>
      </c>
    </row>
    <row r="44" spans="1:8" x14ac:dyDescent="0.15">
      <c r="D44" s="444">
        <v>12.69</v>
      </c>
      <c r="E44" s="276"/>
    </row>
    <row r="45" spans="1:8" x14ac:dyDescent="0.15">
      <c r="D45" s="280"/>
    </row>
    <row r="46" spans="1:8" x14ac:dyDescent="0.15">
      <c r="C46" s="249" t="s">
        <v>258</v>
      </c>
      <c r="D46" s="277">
        <v>13.25</v>
      </c>
      <c r="E46" s="277">
        <f>D46*2080</f>
        <v>27560</v>
      </c>
    </row>
    <row r="47" spans="1:8" x14ac:dyDescent="0.15">
      <c r="C47" s="249">
        <v>2025</v>
      </c>
      <c r="D47" s="249">
        <v>15</v>
      </c>
      <c r="E47" s="277">
        <f>D47*2080</f>
        <v>31200</v>
      </c>
      <c r="F47" s="249">
        <f>17*2080</f>
        <v>35360</v>
      </c>
    </row>
    <row r="48" spans="1:8" x14ac:dyDescent="0.15">
      <c r="B48" s="280"/>
      <c r="C48" s="280"/>
    </row>
    <row r="49" spans="1:6" x14ac:dyDescent="0.15">
      <c r="E49" s="277">
        <f>E4/2080</f>
        <v>16.236346153846156</v>
      </c>
      <c r="F49" s="277">
        <f t="shared" ref="C49:F50" si="1">F4/2080</f>
        <v>15</v>
      </c>
    </row>
    <row r="50" spans="1:6" x14ac:dyDescent="0.15">
      <c r="A50" s="277" t="str">
        <f>A5</f>
        <v>Entry</v>
      </c>
      <c r="B50" s="277">
        <f>B5/2080</f>
        <v>25.494230769230768</v>
      </c>
      <c r="C50" s="277">
        <f t="shared" si="1"/>
        <v>20.395384615384614</v>
      </c>
      <c r="D50" s="277">
        <f t="shared" si="1"/>
        <v>16.2</v>
      </c>
      <c r="E50" s="277">
        <f>E5/2080</f>
        <v>18.588461538461537</v>
      </c>
      <c r="F50" s="277">
        <f t="shared" si="1"/>
        <v>18.63</v>
      </c>
    </row>
    <row r="51" spans="1:6" x14ac:dyDescent="0.15">
      <c r="A51" s="277" t="str">
        <f t="shared" ref="A51:A54" si="2">A6</f>
        <v>Level 1</v>
      </c>
      <c r="B51" s="277">
        <f t="shared" ref="B51:F54" si="3">B6/2080</f>
        <v>25.494230769230768</v>
      </c>
      <c r="C51" s="277">
        <f t="shared" si="3"/>
        <v>20.395384615384614</v>
      </c>
      <c r="D51" s="277">
        <f t="shared" si="3"/>
        <v>18.63</v>
      </c>
      <c r="E51" s="277">
        <f t="shared" si="3"/>
        <v>23.157692307692308</v>
      </c>
      <c r="F51" s="277">
        <f t="shared" si="3"/>
        <v>21.060000000000002</v>
      </c>
    </row>
    <row r="52" spans="1:6" x14ac:dyDescent="0.15">
      <c r="A52" s="277" t="str">
        <f t="shared" si="2"/>
        <v>Level 2</v>
      </c>
      <c r="B52" s="277">
        <f t="shared" si="3"/>
        <v>33.126923076923077</v>
      </c>
      <c r="C52" s="277">
        <f t="shared" si="3"/>
        <v>26.501538461538463</v>
      </c>
      <c r="D52" s="277">
        <f t="shared" si="3"/>
        <v>21.060000000000002</v>
      </c>
      <c r="E52" s="277">
        <f t="shared" si="3"/>
        <v>30.11538461538462</v>
      </c>
      <c r="F52" s="277">
        <f t="shared" si="3"/>
        <v>27.363461538461543</v>
      </c>
    </row>
    <row r="53" spans="1:6" x14ac:dyDescent="0.15">
      <c r="A53" s="277" t="str">
        <f t="shared" si="2"/>
        <v>Level 3</v>
      </c>
      <c r="B53" s="277">
        <f t="shared" si="3"/>
        <v>38.059615384615384</v>
      </c>
      <c r="C53" s="277">
        <f t="shared" si="3"/>
        <v>30.447692307692311</v>
      </c>
      <c r="D53" s="277">
        <f t="shared" si="3"/>
        <v>21.060000000000002</v>
      </c>
      <c r="E53" s="277">
        <f t="shared" si="3"/>
        <v>34.632692307692309</v>
      </c>
      <c r="F53" s="277">
        <f t="shared" si="3"/>
        <v>31.465384615384618</v>
      </c>
    </row>
    <row r="54" spans="1:6" x14ac:dyDescent="0.15">
      <c r="A54" s="277" t="str">
        <f t="shared" si="2"/>
        <v>Level 4</v>
      </c>
      <c r="B54" s="277">
        <f t="shared" si="3"/>
        <v>43.693269230769232</v>
      </c>
      <c r="C54" s="277">
        <f t="shared" si="3"/>
        <v>34.954615384615387</v>
      </c>
      <c r="D54" s="277">
        <f t="shared" si="3"/>
        <v>21.060000000000002</v>
      </c>
      <c r="E54" s="277">
        <f t="shared" si="3"/>
        <v>39.721153846153847</v>
      </c>
      <c r="F54" s="277">
        <f t="shared" si="3"/>
        <v>31.465384615384618</v>
      </c>
    </row>
    <row r="55" spans="1:6" x14ac:dyDescent="0.15">
      <c r="A55" s="277"/>
      <c r="B55" s="277"/>
      <c r="C55" s="277"/>
      <c r="D55" s="277"/>
      <c r="E55" s="277"/>
      <c r="F55" s="277"/>
    </row>
  </sheetData>
  <mergeCells count="4">
    <mergeCell ref="E33:F33"/>
    <mergeCell ref="E2:F2"/>
    <mergeCell ref="E13:F13"/>
    <mergeCell ref="E23:F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F2153-DDAE-BA49-BC39-D382CDECD0A5}">
  <sheetPr codeName="Sheet5">
    <tabColor theme="0" tint="-0.14999847407452621"/>
  </sheetPr>
  <dimension ref="A1:D16"/>
  <sheetViews>
    <sheetView zoomScale="130" zoomScaleNormal="130" workbookViewId="0">
      <selection activeCell="A20" sqref="A20"/>
    </sheetView>
    <sheetView workbookViewId="1"/>
  </sheetViews>
  <sheetFormatPr baseColWidth="10" defaultColWidth="11.5" defaultRowHeight="13" x14ac:dyDescent="0.15"/>
  <cols>
    <col min="1" max="1" width="15.1640625" customWidth="1"/>
    <col min="3" max="3" width="13" customWidth="1"/>
  </cols>
  <sheetData>
    <row r="1" spans="1:4" s="74" customFormat="1" x14ac:dyDescent="0.15">
      <c r="A1" s="73" t="s">
        <v>259</v>
      </c>
    </row>
    <row r="2" spans="1:4" s="1" customFormat="1" x14ac:dyDescent="0.15">
      <c r="A2" s="56" t="s">
        <v>23</v>
      </c>
      <c r="B2" s="56" t="s">
        <v>5</v>
      </c>
      <c r="C2" s="56" t="s">
        <v>10</v>
      </c>
      <c r="D2" s="1" t="s">
        <v>12</v>
      </c>
    </row>
    <row r="3" spans="1:4" x14ac:dyDescent="0.15">
      <c r="A3" s="55" t="s">
        <v>4</v>
      </c>
      <c r="B3" s="77">
        <v>4</v>
      </c>
      <c r="C3" s="77">
        <v>4</v>
      </c>
      <c r="D3" s="283">
        <v>4</v>
      </c>
    </row>
    <row r="4" spans="1:4" x14ac:dyDescent="0.15">
      <c r="A4" s="55" t="s">
        <v>260</v>
      </c>
      <c r="B4" s="77">
        <v>6</v>
      </c>
      <c r="C4" s="77">
        <v>6</v>
      </c>
      <c r="D4" s="283">
        <v>4</v>
      </c>
    </row>
    <row r="5" spans="1:4" x14ac:dyDescent="0.15">
      <c r="A5" s="55" t="s">
        <v>261</v>
      </c>
      <c r="B5" s="77">
        <v>8</v>
      </c>
      <c r="C5" s="77">
        <v>6</v>
      </c>
      <c r="D5" s="283">
        <v>4</v>
      </c>
    </row>
    <row r="6" spans="1:4" x14ac:dyDescent="0.15">
      <c r="A6" s="55" t="s">
        <v>8</v>
      </c>
      <c r="B6" s="77">
        <v>10</v>
      </c>
      <c r="C6" s="77">
        <v>8.5</v>
      </c>
      <c r="D6" s="283">
        <v>8</v>
      </c>
    </row>
    <row r="7" spans="1:4" x14ac:dyDescent="0.15">
      <c r="A7" s="55" t="s">
        <v>9</v>
      </c>
      <c r="B7" s="77">
        <v>12</v>
      </c>
      <c r="C7" s="77">
        <v>10</v>
      </c>
      <c r="D7" s="27">
        <v>8</v>
      </c>
    </row>
    <row r="8" spans="1:4" x14ac:dyDescent="0.15">
      <c r="A8" s="55" t="s">
        <v>2</v>
      </c>
      <c r="B8" s="77">
        <v>15</v>
      </c>
      <c r="C8" s="77">
        <v>15</v>
      </c>
      <c r="D8" s="27">
        <v>15</v>
      </c>
    </row>
    <row r="10" spans="1:4" s="1" customFormat="1" x14ac:dyDescent="0.15">
      <c r="A10" s="56" t="s">
        <v>262</v>
      </c>
      <c r="B10" s="56" t="str">
        <f>B2</f>
        <v>Licensing</v>
      </c>
      <c r="C10" s="56" t="str">
        <f t="shared" ref="C10" si="0">C2</f>
        <v>State-funded ECE</v>
      </c>
      <c r="D10" s="1" t="s">
        <v>12</v>
      </c>
    </row>
    <row r="11" spans="1:4" x14ac:dyDescent="0.15">
      <c r="A11" s="55" t="str">
        <f>A3</f>
        <v>Infant</v>
      </c>
      <c r="B11" s="77">
        <v>8</v>
      </c>
      <c r="C11" s="77">
        <v>8</v>
      </c>
      <c r="D11" s="283">
        <v>8</v>
      </c>
    </row>
    <row r="12" spans="1:4" x14ac:dyDescent="0.15">
      <c r="A12" s="55" t="str">
        <f t="shared" ref="A12:A16" si="1">A4</f>
        <v>Toddler I (1-2 yr)</v>
      </c>
      <c r="B12" s="77">
        <v>12</v>
      </c>
      <c r="C12" s="77">
        <v>12</v>
      </c>
      <c r="D12" s="283">
        <v>8</v>
      </c>
    </row>
    <row r="13" spans="1:4" x14ac:dyDescent="0.15">
      <c r="A13" s="55" t="str">
        <f t="shared" si="1"/>
        <v>Toddler II (2-3 yr)</v>
      </c>
      <c r="B13" s="77">
        <v>16</v>
      </c>
      <c r="C13" s="77">
        <v>12</v>
      </c>
      <c r="D13" s="283">
        <v>8</v>
      </c>
    </row>
    <row r="14" spans="1:4" x14ac:dyDescent="0.15">
      <c r="A14" s="55" t="str">
        <f t="shared" si="1"/>
        <v>Age 3</v>
      </c>
      <c r="B14" s="77">
        <v>20</v>
      </c>
      <c r="C14" s="77">
        <v>17</v>
      </c>
      <c r="D14" s="283">
        <v>16</v>
      </c>
    </row>
    <row r="15" spans="1:4" x14ac:dyDescent="0.15">
      <c r="A15" s="55" t="str">
        <f t="shared" si="1"/>
        <v>Age 4</v>
      </c>
      <c r="B15" s="283">
        <v>24</v>
      </c>
      <c r="C15" s="283">
        <v>20</v>
      </c>
      <c r="D15" s="27">
        <v>16</v>
      </c>
    </row>
    <row r="16" spans="1:4" x14ac:dyDescent="0.15">
      <c r="A16" s="55" t="str">
        <f t="shared" si="1"/>
        <v>School age</v>
      </c>
      <c r="B16" s="283">
        <v>30</v>
      </c>
      <c r="C16" s="283">
        <v>30</v>
      </c>
      <c r="D16" s="27">
        <v>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0" tint="-0.14999847407452621"/>
  </sheetPr>
  <dimension ref="A1:AR82"/>
  <sheetViews>
    <sheetView topLeftCell="D19" workbookViewId="0">
      <selection activeCell="A20" sqref="A20"/>
    </sheetView>
    <sheetView workbookViewId="1"/>
  </sheetViews>
  <sheetFormatPr baseColWidth="10" defaultColWidth="8.83203125" defaultRowHeight="13" x14ac:dyDescent="0.15"/>
  <cols>
    <col min="1" max="1" width="32.1640625" customWidth="1"/>
    <col min="2" max="2" width="15.33203125" customWidth="1"/>
    <col min="3" max="3" width="13.6640625" style="27" customWidth="1"/>
    <col min="4" max="4" width="14.83203125" customWidth="1"/>
    <col min="5" max="5" width="17.5" style="400" customWidth="1"/>
    <col min="6" max="6" width="5.33203125" style="399" customWidth="1"/>
    <col min="7" max="7" width="19.1640625" customWidth="1"/>
    <col min="8" max="8" width="17.6640625" customWidth="1"/>
    <col min="9" max="10" width="16.1640625" customWidth="1"/>
    <col min="11" max="11" width="10.1640625" style="400" customWidth="1"/>
  </cols>
  <sheetData>
    <row r="1" spans="1:44" ht="29.25" customHeight="1" x14ac:dyDescent="0.15">
      <c r="A1" s="1"/>
      <c r="B1" s="1"/>
      <c r="C1" s="34" t="s">
        <v>263</v>
      </c>
      <c r="D1" s="35"/>
      <c r="E1" s="212"/>
      <c r="G1" s="1" t="s">
        <v>264</v>
      </c>
      <c r="H1" s="35" t="s">
        <v>265</v>
      </c>
      <c r="I1" s="19"/>
      <c r="J1" s="19"/>
    </row>
    <row r="2" spans="1:44" ht="19" customHeight="1" x14ac:dyDescent="0.2">
      <c r="A2" s="1"/>
      <c r="B2" s="1"/>
      <c r="C2" s="34"/>
      <c r="D2" s="442" t="s">
        <v>266</v>
      </c>
      <c r="E2" s="466">
        <v>0.97957000000000005</v>
      </c>
      <c r="G2" s="1"/>
      <c r="H2" s="35"/>
      <c r="I2" s="19"/>
      <c r="J2" s="19"/>
    </row>
    <row r="3" spans="1:44" x14ac:dyDescent="0.15">
      <c r="A3" s="19" t="s">
        <v>267</v>
      </c>
      <c r="B3" s="19"/>
      <c r="C3" s="28">
        <f>'VariablesINPUT-CTR'!G15</f>
        <v>94</v>
      </c>
      <c r="D3" s="19"/>
      <c r="H3">
        <f>'[9]VariablesINPUT-FCC'!C17</f>
        <v>10</v>
      </c>
    </row>
    <row r="4" spans="1:44" x14ac:dyDescent="0.15">
      <c r="A4" s="19" t="s">
        <v>121</v>
      </c>
      <c r="B4" s="19"/>
      <c r="C4" s="28">
        <f>'VariablesINPUT-CTR'!B15</f>
        <v>5</v>
      </c>
      <c r="D4" s="19"/>
      <c r="H4" s="19" t="s">
        <v>268</v>
      </c>
      <c r="K4" s="212"/>
    </row>
    <row r="5" spans="1:44" s="1" customFormat="1" ht="24" customHeight="1" x14ac:dyDescent="0.15">
      <c r="A5" s="3" t="s">
        <v>269</v>
      </c>
      <c r="B5" s="3" t="s">
        <v>270</v>
      </c>
      <c r="C5" s="401" t="s">
        <v>271</v>
      </c>
      <c r="D5" s="66" t="s">
        <v>272</v>
      </c>
      <c r="E5" s="35" t="s">
        <v>273</v>
      </c>
      <c r="F5" s="402"/>
      <c r="G5"/>
      <c r="H5" s="403" t="s">
        <v>274</v>
      </c>
      <c r="I5" s="404" t="s">
        <v>272</v>
      </c>
      <c r="J5" s="404" t="s">
        <v>275</v>
      </c>
      <c r="K5" s="405" t="s">
        <v>273</v>
      </c>
    </row>
    <row r="6" spans="1:44" s="29" customFormat="1" ht="15" x14ac:dyDescent="0.2">
      <c r="A6" s="36" t="s">
        <v>276</v>
      </c>
      <c r="B6" s="397"/>
      <c r="C6" s="65"/>
      <c r="D6" s="60"/>
      <c r="E6" s="400"/>
      <c r="F6" s="399"/>
      <c r="G6" s="406" t="s">
        <v>277</v>
      </c>
      <c r="H6" s="206">
        <v>178.36</v>
      </c>
      <c r="I6" s="21" t="e">
        <f>IF('[9]VariablesINPUT-FCC'!$C$6='[9]State List'!$A$1,'[9]Nonpersonnel PCQC'!H5*'[9]Cost of living'!C$2,
IF('[9]VariablesINPUT-FCC'!$C$6='[9]State List'!$A$2,'[9]Nonpersonnel PCQC'!H5*'[9]Cost of living'!C$3,
IF('[9]VariablesINPUT-FCC'!$C$6='[9]State List'!$A$3,'[9]Nonpersonnel PCQC'!H5*'[9]Cost of living'!C$4,
IF('[9]VariablesINPUT-FCC'!$C$6='[9]State List'!$A$4,'[9]Nonpersonnel PCQC'!H5*'[9]Cost of living'!C$5,
IF('[9]VariablesINPUT-FCC'!$C$6='[9]State List'!$A$5,'[9]Nonpersonnel PCQC'!H5*'[9]Cost of living'!C$6,
IF('[9]VariablesINPUT-FCC'!$C$6='[9]State List'!$A$6,'[9]Nonpersonnel PCQC'!H5*'[9]Cost of living'!C$7,
IF('[9]VariablesINPUT-FCC'!$C$6='[9]State List'!$A$7,'[9]Nonpersonnel PCQC'!H5*'[9]Cost of living'!C$8,
IF('[9]VariablesINPUT-FCC'!$C$6='[9]State List'!$A$8,'[9]Nonpersonnel PCQC'!H5*'[9]Cost of living'!C$9,
IF('[9]VariablesINPUT-FCC'!$C$6='[9]State List'!$A$9,'[9]Nonpersonnel PCQC'!H5*'[9]Cost of living'!C$10,
IF('[9]VariablesINPUT-FCC'!$C$6='[9]State List'!$A$10,'[9]Nonpersonnel PCQC'!H5*'[9]Cost of living'!C$11,
IF('[9]VariablesINPUT-FCC'!$C$6='[9]State List'!$A$11,'[9]Nonpersonnel PCQC'!H5*'[9]Cost of living'!C$12,
IF('[9]VariablesINPUT-FCC'!$C$6='[9]State List'!$A$12,'[9]Nonpersonnel PCQC'!H5*'[9]Cost of living'!C$13,
IF('[9]VariablesINPUT-FCC'!$C$6='[9]State List'!$A$13,'[9]Nonpersonnel PCQC'!H5*'[9]Cost of living'!C$14,
IF('[9]VariablesINPUT-FCC'!$C$6='[9]State List'!$A$14,'[9]Nonpersonnel PCQC'!H5*'[9]Cost of living'!C$15,
IF('[9]VariablesINPUT-FCC'!$C$6='[9]State List'!$A$15,'[9]Nonpersonnel PCQC'!H5*'[9]Cost of living'!C$16,
IF('[9]VariablesINPUT-FCC'!$C$6='[9]State List'!$A$16,'[9]Nonpersonnel PCQC'!H5*'[9]Cost of living'!C$17,
IF('[9]VariablesINPUT-FCC'!$C$6='[9]State List'!$A$17,'[9]Nonpersonnel PCQC'!H5*'[9]Cost of living'!C$18,
IF('[9]VariablesINPUT-FCC'!$C$6='[9]State List'!$A$18,'[9]Nonpersonnel PCQC'!H5*'[9]Cost of living'!C$19,
IF('[9]VariablesINPUT-FCC'!$C$6='[9]State List'!$A$19,'[9]Nonpersonnel PCQC'!H5*'[9]Cost of living'!C$20,
IF('[9]VariablesINPUT-FCC'!$C$6='[9]State List'!$A$20,'[9]Nonpersonnel PCQC'!H5*'[9]Cost of living'!C$21,
IF('[9]VariablesINPUT-FCC'!$C$6='[9]State List'!$A$21,'[9]Nonpersonnel PCQC'!H5*'[9]Cost of living'!C21,
IF('[9]VariablesINPUT-FCC'!$C$6='[9]State List'!$A$22,'[9]Nonpersonnel PCQC'!H5*'[9]Cost of living'!C$23,
IF('[9]VariablesINPUT-FCC'!$C$6='[9]State List'!$A$23,'[9]Nonpersonnel PCQC'!H5*'[9]Cost of living'!C$24,
IF('[9]VariablesINPUT-FCC'!$C$6='[9]State List'!$A$24,'[9]Nonpersonnel PCQC'!H5*'[9]Cost of living'!C$25,
IF('[9]VariablesINPUT-FCC'!$C$6='[9]State List'!$A$25,'[9]Nonpersonnel PCQC'!H5*'[9]Cost of living'!C$26,
IF('[9]VariablesINPUT-FCC'!$C$6='[9]State List'!$A$26,'[9]Nonpersonnel PCQC'!H5*'[9]Cost of living'!C$27,
IF('[9]VariablesINPUT-FCC'!$C$6='[9]State List'!$A$27,'[9]Nonpersonnel PCQC'!H5*'[9]Cost of living'!C$28,
IF('[9]VariablesINPUT-FCC'!$C$6='[9]State List'!$A$28,'[9]Nonpersonnel PCQC'!H5*'[9]Cost of living'!C$29,
IF('[9]VariablesINPUT-FCC'!$C$6='[9]State List'!$A$29,'[9]Nonpersonnel PCQC'!H5*'[9]Cost of living'!C$30,
IF('[9]VariablesINPUT-FCC'!$C$6='[9]State List'!$A$30,'[9]Nonpersonnel PCQC'!H5*'[9]Cost of living'!C$31,
IF('[9]VariablesINPUT-FCC'!$C$6='[9]State List'!$A$31,'[9]Nonpersonnel PCQC'!H5*'[9]Cost of living'!C$32,
IF('[9]VariablesINPUT-FCC'!$C$6='[9]State List'!$A$32,'[9]Nonpersonnel PCQC'!H5*'[9]Cost of living'!C$33,
IF('[9]VariablesINPUT-FCC'!$C$6='[9]State List'!$A$33,'[9]Nonpersonnel PCQC'!H5*'[9]Cost of living'!C$34,
IF('[9]VariablesINPUT-FCC'!$C$6='[9]State List'!$A$34,'[9]Nonpersonnel PCQC'!H5*'[9]Cost of living'!C$35,
IF('[9]VariablesINPUT-FCC'!$C$6='[9]State List'!$A$35,'[9]Nonpersonnel PCQC'!H5*'[9]Cost of living'!C$36,
IF('[9]VariablesINPUT-FCC'!$C$6='[9]State List'!$A$36,'[9]Nonpersonnel PCQC'!H5*'[9]Cost of living'!C$37,
IF('[9]VariablesINPUT-FCC'!$C$6='[9]State List'!$A$37,'[9]Nonpersonnel PCQC'!H5*'[9]Cost of living'!C$38,
IF('[9]VariablesINPUT-FCC'!$C$6='[9]State List'!$A$38,'[9]Nonpersonnel PCQC'!H5*'[9]Cost of living'!C$39,
IF('[9]VariablesINPUT-FCC'!$C$6='[9]State List'!$A$39,'[9]Nonpersonnel PCQC'!H5*'[9]Cost of living'!C$40,
IF('[9]VariablesINPUT-FCC'!$C$6='[9]State List'!$A$40,'[9]Nonpersonnel PCQC'!H5*'[9]Cost of living'!C$41,
IF('[9]VariablesINPUT-FCC'!$C$6='[9]State List'!$A$41,'[9]Nonpersonnel PCQC'!H5*'[9]Cost of living'!C$42,
IF('[9]VariablesINPUT-FCC'!$C$6='[9]State List'!$A$42,'[9]Nonpersonnel PCQC'!H5*'[9]Cost of living'!C$43,
IF('[9]VariablesINPUT-FCC'!$C$6='[9]State List'!$A$43,'[9]Nonpersonnel PCQC'!H5*'[9]Cost of living'!C$44,
IF('[9]VariablesINPUT-FCC'!$C$6='[9]State List'!$A$44,'[9]Nonpersonnel PCQC'!H5*'[9]Cost of living'!C$45,
IF('[9]VariablesINPUT-FCC'!$C$6='[9]State List'!$A$45,'[9]Nonpersonnel PCQC'!H5*'[9]Cost of living'!C$46,
IF('[9]VariablesINPUT-FCC'!$C$6='[9]State List'!$A$46,'[9]Nonpersonnel PCQC'!H5*'[9]Cost of living'!C$47,
IF('[9]VariablesINPUT-FCC'!$C$6='[9]State List'!$A$47,'[9]Nonpersonnel PCQC'!H5*'[9]Cost of living'!C$48,
IF('[9]VariablesINPUT-FCC'!$C$6='[9]State List'!$A$48,'[9]Nonpersonnel PCQC'!H5*'[9]Cost of living'!C$49,
IF('[9]VariablesINPUT-FCC'!$C$6='[9]State List'!$A$49,'[9]Nonpersonnel PCQC'!H5*'[9]Cost of living'!C$50,
IF('[9]VariablesINPUT-FCC'!$C$6='[9]State List'!$A$50,'[9]Nonpersonnel PCQC'!H5*'[9]Cost of living'!C$51,
IF('[9]VariablesINPUT-FCC'!$C$6='[9]State List'!$A$51,'[9]Nonpersonnel PCQC'!H5*'[9]Cost of living'!C$52,
IF('[9]VariablesINPUT-FCC'!$C$6='[9]State List'!$A$52,'[9]Nonpersonnel PCQC'!H5*'[9]Cost of living'!C$53))))))))))))))))))))))))))))))))))))))))))))))))))))</f>
        <v>#VALUE!</v>
      </c>
      <c r="J6" s="21" t="e">
        <f>I6/6</f>
        <v>#VALUE!</v>
      </c>
      <c r="K6" s="407" t="s">
        <v>278</v>
      </c>
      <c r="L6" s="408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</row>
    <row r="7" spans="1:44" x14ac:dyDescent="0.15">
      <c r="A7" s="64" t="s">
        <v>279</v>
      </c>
      <c r="B7">
        <v>119</v>
      </c>
      <c r="C7" s="31">
        <f>B7*C3</f>
        <v>11186</v>
      </c>
      <c r="D7" s="21">
        <f>C7</f>
        <v>11186</v>
      </c>
      <c r="E7" s="409"/>
      <c r="G7" s="19" t="s">
        <v>280</v>
      </c>
      <c r="H7" s="410">
        <v>326.81</v>
      </c>
      <c r="I7" s="410">
        <f>H7</f>
        <v>326.81</v>
      </c>
      <c r="J7" s="21">
        <f t="shared" ref="J7:J22" si="0">I7/6</f>
        <v>54.468333333333334</v>
      </c>
      <c r="L7" s="411"/>
    </row>
    <row r="8" spans="1:44" x14ac:dyDescent="0.15">
      <c r="A8" s="37" t="s">
        <v>281</v>
      </c>
      <c r="B8">
        <v>5056</v>
      </c>
      <c r="C8" s="31">
        <f>B8</f>
        <v>5056</v>
      </c>
      <c r="D8" s="21">
        <f>C8*$E$2</f>
        <v>4952.7059200000003</v>
      </c>
      <c r="E8" s="212" t="s">
        <v>282</v>
      </c>
      <c r="G8" s="19" t="s">
        <v>283</v>
      </c>
      <c r="H8" s="410">
        <v>391.96</v>
      </c>
      <c r="I8" s="410">
        <f>H8</f>
        <v>391.96</v>
      </c>
      <c r="J8" s="21">
        <f t="shared" si="0"/>
        <v>65.326666666666668</v>
      </c>
      <c r="L8" s="411"/>
    </row>
    <row r="9" spans="1:44" x14ac:dyDescent="0.15">
      <c r="A9" s="37" t="s">
        <v>284</v>
      </c>
      <c r="B9">
        <v>130</v>
      </c>
      <c r="C9" s="31">
        <f>B9*C3</f>
        <v>12220</v>
      </c>
      <c r="D9" s="21">
        <f t="shared" ref="D9:D11" si="1">C9*$E$2</f>
        <v>11970.3454</v>
      </c>
      <c r="E9" s="212" t="s">
        <v>282</v>
      </c>
      <c r="G9" s="19" t="s">
        <v>285</v>
      </c>
      <c r="H9" s="410">
        <v>587.4</v>
      </c>
      <c r="I9" s="21" t="e">
        <f>IF('[9]VariablesINPUT-FCC'!$C$6='[9]State List'!$A$1,'[9]Nonpersonnel PCQC'!H8*'[9]Cost of living'!C$2,
IF('[9]VariablesINPUT-FCC'!$C$6='[9]State List'!$A$2,'[9]Nonpersonnel PCQC'!H8*'[9]Cost of living'!C$3,
IF('[9]VariablesINPUT-FCC'!$C$6='[9]State List'!$A$3,'[9]Nonpersonnel PCQC'!H8*'[9]Cost of living'!C$4,
IF('[9]VariablesINPUT-FCC'!$C$6='[9]State List'!$A$4,'[9]Nonpersonnel PCQC'!H8*'[9]Cost of living'!C$5,
IF('[9]VariablesINPUT-FCC'!$C$6='[9]State List'!$A$5,'[9]Nonpersonnel PCQC'!H8*'[9]Cost of living'!C$6,
IF('[9]VariablesINPUT-FCC'!$C$6='[9]State List'!$A$6,'[9]Nonpersonnel PCQC'!H8*'[9]Cost of living'!C$7,
IF('[9]VariablesINPUT-FCC'!$C$6='[9]State List'!$A$7,'[9]Nonpersonnel PCQC'!H8*'[9]Cost of living'!C$8,
IF('[9]VariablesINPUT-FCC'!$C$6='[9]State List'!$A$8,'[9]Nonpersonnel PCQC'!H8*'[9]Cost of living'!C$9,
IF('[9]VariablesINPUT-FCC'!$C$6='[9]State List'!$A$9,'[9]Nonpersonnel PCQC'!H8*'[9]Cost of living'!C$10,
IF('[9]VariablesINPUT-FCC'!$C$6='[9]State List'!$A$10,'[9]Nonpersonnel PCQC'!H8*'[9]Cost of living'!C$11,
IF('[9]VariablesINPUT-FCC'!$C$6='[9]State List'!$A$11,'[9]Nonpersonnel PCQC'!H8*'[9]Cost of living'!C$12,
IF('[9]VariablesINPUT-FCC'!$C$6='[9]State List'!$A$12,'[9]Nonpersonnel PCQC'!H8*'[9]Cost of living'!C$13,
IF('[9]VariablesINPUT-FCC'!$C$6='[9]State List'!$A$13,'[9]Nonpersonnel PCQC'!H8*'[9]Cost of living'!C$14,
IF('[9]VariablesINPUT-FCC'!$C$6='[9]State List'!$A$14,'[9]Nonpersonnel PCQC'!H8*'[9]Cost of living'!C$15,
IF('[9]VariablesINPUT-FCC'!$C$6='[9]State List'!$A$15,'[9]Nonpersonnel PCQC'!H8*'[9]Cost of living'!C$16,
IF('[9]VariablesINPUT-FCC'!$C$6='[9]State List'!$A$16,'[9]Nonpersonnel PCQC'!H8*'[9]Cost of living'!C$17,
IF('[9]VariablesINPUT-FCC'!$C$6='[9]State List'!$A$17,'[9]Nonpersonnel PCQC'!H8*'[9]Cost of living'!C$18,
IF('[9]VariablesINPUT-FCC'!$C$6='[9]State List'!$A$18,'[9]Nonpersonnel PCQC'!H8*'[9]Cost of living'!C$19,
IF('[9]VariablesINPUT-FCC'!$C$6='[9]State List'!$A$19,'[9]Nonpersonnel PCQC'!H8*'[9]Cost of living'!C$20,
IF('[9]VariablesINPUT-FCC'!$C$6='[9]State List'!$A$20,'[9]Nonpersonnel PCQC'!H8*'[9]Cost of living'!C$21,
IF('[9]VariablesINPUT-FCC'!$C$6='[9]State List'!$A$21,'[9]Nonpersonnel PCQC'!H8*'[9]Cost of living'!C24,
IF('[9]VariablesINPUT-FCC'!$C$6='[9]State List'!$A$22,'[9]Nonpersonnel PCQC'!H8*'[9]Cost of living'!C$23,
IF('[9]VariablesINPUT-FCC'!$C$6='[9]State List'!$A$23,'[9]Nonpersonnel PCQC'!H8*'[9]Cost of living'!C$24,
IF('[9]VariablesINPUT-FCC'!$C$6='[9]State List'!$A$24,'[9]Nonpersonnel PCQC'!H8*'[9]Cost of living'!C$25,
IF('[9]VariablesINPUT-FCC'!$C$6='[9]State List'!$A$25,'[9]Nonpersonnel PCQC'!H8*'[9]Cost of living'!C$26,
IF('[9]VariablesINPUT-FCC'!$C$6='[9]State List'!$A$26,'[9]Nonpersonnel PCQC'!H8*'[9]Cost of living'!C$27,
IF('[9]VariablesINPUT-FCC'!$C$6='[9]State List'!$A$27,'[9]Nonpersonnel PCQC'!H8*'[9]Cost of living'!C$28,
IF('[9]VariablesINPUT-FCC'!$C$6='[9]State List'!$A$28,'[9]Nonpersonnel PCQC'!H8*'[9]Cost of living'!C$29,
IF('[9]VariablesINPUT-FCC'!$C$6='[9]State List'!$A$29,'[9]Nonpersonnel PCQC'!H8*'[9]Cost of living'!C$30,
IF('[9]VariablesINPUT-FCC'!$C$6='[9]State List'!$A$30,'[9]Nonpersonnel PCQC'!H8*'[9]Cost of living'!C$31,
IF('[9]VariablesINPUT-FCC'!$C$6='[9]State List'!$A$31,'[9]Nonpersonnel PCQC'!H8*'[9]Cost of living'!C$32,
IF('[9]VariablesINPUT-FCC'!$C$6='[9]State List'!$A$32,'[9]Nonpersonnel PCQC'!H8*'[9]Cost of living'!C$33,
IF('[9]VariablesINPUT-FCC'!$C$6='[9]State List'!$A$33,'[9]Nonpersonnel PCQC'!H8*'[9]Cost of living'!C$34,
IF('[9]VariablesINPUT-FCC'!$C$6='[9]State List'!$A$34,'[9]Nonpersonnel PCQC'!H8*'[9]Cost of living'!C$35,
IF('[9]VariablesINPUT-FCC'!$C$6='[9]State List'!$A$35,'[9]Nonpersonnel PCQC'!H8*'[9]Cost of living'!C$36,
IF('[9]VariablesINPUT-FCC'!$C$6='[9]State List'!$A$36,'[9]Nonpersonnel PCQC'!H8*'[9]Cost of living'!C$37,
IF('[9]VariablesINPUT-FCC'!$C$6='[9]State List'!$A$37,'[9]Nonpersonnel PCQC'!H8*'[9]Cost of living'!C$38,
IF('[9]VariablesINPUT-FCC'!$C$6='[9]State List'!$A$38,'[9]Nonpersonnel PCQC'!H8*'[9]Cost of living'!C$39,
IF('[9]VariablesINPUT-FCC'!$C$6='[9]State List'!$A$39,'[9]Nonpersonnel PCQC'!H8*'[9]Cost of living'!C$40,
IF('[9]VariablesINPUT-FCC'!$C$6='[9]State List'!$A$40,'[9]Nonpersonnel PCQC'!H8*'[9]Cost of living'!C$41,
IF('[9]VariablesINPUT-FCC'!$C$6='[9]State List'!$A$41,'[9]Nonpersonnel PCQC'!H8*'[9]Cost of living'!C$42,
IF('[9]VariablesINPUT-FCC'!$C$6='[9]State List'!$A$42,'[9]Nonpersonnel PCQC'!H8*'[9]Cost of living'!C$43,
IF('[9]VariablesINPUT-FCC'!$C$6='[9]State List'!$A$43,'[9]Nonpersonnel PCQC'!H8*'[9]Cost of living'!C$44,
IF('[9]VariablesINPUT-FCC'!$C$6='[9]State List'!$A$44,'[9]Nonpersonnel PCQC'!H8*'[9]Cost of living'!C$45,
IF('[9]VariablesINPUT-FCC'!$C$6='[9]State List'!$A$45,'[9]Nonpersonnel PCQC'!H8*'[9]Cost of living'!C$46,
IF('[9]VariablesINPUT-FCC'!$C$6='[9]State List'!$A$46,'[9]Nonpersonnel PCQC'!H8*'[9]Cost of living'!C$47,
IF('[9]VariablesINPUT-FCC'!$C$6='[9]State List'!$A$47,'[9]Nonpersonnel PCQC'!H8*'[9]Cost of living'!C$48,
IF('[9]VariablesINPUT-FCC'!$C$6='[9]State List'!$A$48,'[9]Nonpersonnel PCQC'!H8*'[9]Cost of living'!C$49,
IF('[9]VariablesINPUT-FCC'!$C$6='[9]State List'!$A$49,'[9]Nonpersonnel PCQC'!H8*'[9]Cost of living'!C$50,
IF('[9]VariablesINPUT-FCC'!$C$6='[9]State List'!$A$50,'[9]Nonpersonnel PCQC'!H8*'[9]Cost of living'!C$51,
IF('[9]VariablesINPUT-FCC'!$C$6='[9]State List'!$A$51,'[9]Nonpersonnel PCQC'!H8*'[9]Cost of living'!C$52,
IF('[9]VariablesINPUT-FCC'!$C$6='[9]State List'!$A$52,'[9]Nonpersonnel PCQC'!H8*'[9]Cost of living'!C$53))))))))))))))))))))))))))))))))))))))))))))))))))))</f>
        <v>#VALUE!</v>
      </c>
      <c r="J9" s="21" t="e">
        <f t="shared" si="0"/>
        <v>#VALUE!</v>
      </c>
      <c r="K9" s="212" t="s">
        <v>278</v>
      </c>
      <c r="L9" s="411"/>
    </row>
    <row r="10" spans="1:44" x14ac:dyDescent="0.15">
      <c r="A10" s="37" t="s">
        <v>286</v>
      </c>
      <c r="B10">
        <v>3563</v>
      </c>
      <c r="C10" s="31">
        <f>B10</f>
        <v>3563</v>
      </c>
      <c r="D10" s="21">
        <f t="shared" si="1"/>
        <v>3490.2079100000001</v>
      </c>
      <c r="E10" s="212" t="s">
        <v>282</v>
      </c>
      <c r="G10" s="21" t="s">
        <v>287</v>
      </c>
      <c r="H10" s="410">
        <v>153.79</v>
      </c>
      <c r="I10" s="410">
        <f>H10</f>
        <v>153.79</v>
      </c>
      <c r="J10" s="21">
        <f t="shared" si="0"/>
        <v>25.631666666666664</v>
      </c>
      <c r="L10" s="411"/>
    </row>
    <row r="11" spans="1:44" x14ac:dyDescent="0.15">
      <c r="A11" s="37" t="s">
        <v>288</v>
      </c>
      <c r="B11">
        <v>669</v>
      </c>
      <c r="C11" s="31">
        <f>B11</f>
        <v>669</v>
      </c>
      <c r="D11" s="21">
        <f t="shared" si="1"/>
        <v>655.33233000000007</v>
      </c>
      <c r="E11" s="212" t="s">
        <v>282</v>
      </c>
      <c r="G11" s="21" t="s">
        <v>289</v>
      </c>
      <c r="H11" s="410">
        <v>782.84</v>
      </c>
      <c r="I11" s="410">
        <f>H11</f>
        <v>782.84</v>
      </c>
      <c r="J11" s="21">
        <f t="shared" si="0"/>
        <v>130.47333333333333</v>
      </c>
      <c r="L11" s="411"/>
    </row>
    <row r="12" spans="1:44" x14ac:dyDescent="0.15">
      <c r="A12" s="37" t="s">
        <v>290</v>
      </c>
      <c r="D12" s="21"/>
      <c r="G12" s="21" t="s">
        <v>291</v>
      </c>
      <c r="H12" s="410">
        <v>237.1</v>
      </c>
      <c r="I12" s="410">
        <f>H12</f>
        <v>237.1</v>
      </c>
      <c r="J12" s="21">
        <f t="shared" si="0"/>
        <v>39.516666666666666</v>
      </c>
      <c r="L12" s="411"/>
    </row>
    <row r="13" spans="1:44" x14ac:dyDescent="0.15">
      <c r="A13" s="37" t="s">
        <v>292</v>
      </c>
      <c r="B13" s="398"/>
      <c r="C13" s="28"/>
      <c r="D13" s="21"/>
      <c r="G13" s="21" t="s">
        <v>293</v>
      </c>
      <c r="H13" s="410">
        <v>313.99</v>
      </c>
      <c r="I13" s="410">
        <f>H13</f>
        <v>313.99</v>
      </c>
      <c r="J13" s="21">
        <f t="shared" si="0"/>
        <v>52.331666666666671</v>
      </c>
      <c r="L13" s="411"/>
    </row>
    <row r="14" spans="1:44" x14ac:dyDescent="0.15">
      <c r="A14" s="39" t="s">
        <v>294</v>
      </c>
      <c r="B14" s="398"/>
      <c r="D14" s="19"/>
      <c r="G14" s="21" t="s">
        <v>295</v>
      </c>
      <c r="H14" s="410">
        <v>593.80999999999995</v>
      </c>
      <c r="I14" s="410">
        <f>H14</f>
        <v>593.80999999999995</v>
      </c>
      <c r="J14" s="21">
        <f t="shared" si="0"/>
        <v>98.96833333333332</v>
      </c>
      <c r="L14" s="411"/>
    </row>
    <row r="15" spans="1:44" s="29" customFormat="1" x14ac:dyDescent="0.15">
      <c r="A15" s="36" t="s">
        <v>98</v>
      </c>
      <c r="B15" s="397"/>
      <c r="C15" s="30"/>
      <c r="E15" s="400"/>
      <c r="F15" s="399"/>
      <c r="G15" s="21" t="s">
        <v>296</v>
      </c>
      <c r="H15" s="410">
        <v>10342.799999999999</v>
      </c>
      <c r="I15" s="21" t="e">
        <f>IF('[9]VariablesINPUT-FCC'!$C$6='[9]State List'!$A$1,'[9]Nonpersonnel PCQC'!H14*'[9]Cost of living'!C$2,
IF('[9]VariablesINPUT-FCC'!$C$6='[9]State List'!$A$2,'[9]Nonpersonnel PCQC'!H14*'[9]Cost of living'!C$3,
IF('[9]VariablesINPUT-FCC'!$C$6='[9]State List'!$A$3,'[9]Nonpersonnel PCQC'!H14*'[9]Cost of living'!C$4,
IF('[9]VariablesINPUT-FCC'!$C$6='[9]State List'!$A$4,'[9]Nonpersonnel PCQC'!H14*'[9]Cost of living'!C$5,
IF('[9]VariablesINPUT-FCC'!$C$6='[9]State List'!$A$5,'[9]Nonpersonnel PCQC'!H14*'[9]Cost of living'!C$6,
IF('[9]VariablesINPUT-FCC'!$C$6='[9]State List'!$A$6,'[9]Nonpersonnel PCQC'!H14*'[9]Cost of living'!C$7,
IF('[9]VariablesINPUT-FCC'!$C$6='[9]State List'!$A$7,'[9]Nonpersonnel PCQC'!H14*'[9]Cost of living'!C$8,
IF('[9]VariablesINPUT-FCC'!$C$6='[9]State List'!$A$8,'[9]Nonpersonnel PCQC'!H14*'[9]Cost of living'!C$9,
IF('[9]VariablesINPUT-FCC'!$C$6='[9]State List'!$A$9,'[9]Nonpersonnel PCQC'!H14*'[9]Cost of living'!C$10,
IF('[9]VariablesINPUT-FCC'!$C$6='[9]State List'!$A$10,'[9]Nonpersonnel PCQC'!H14*'[9]Cost of living'!C$11,
IF('[9]VariablesINPUT-FCC'!$C$6='[9]State List'!$A$11,'[9]Nonpersonnel PCQC'!H14*'[9]Cost of living'!C$12,
IF('[9]VariablesINPUT-FCC'!$C$6='[9]State List'!$A$12,'[9]Nonpersonnel PCQC'!H14*'[9]Cost of living'!C$13,
IF('[9]VariablesINPUT-FCC'!$C$6='[9]State List'!$A$13,'[9]Nonpersonnel PCQC'!H14*'[9]Cost of living'!C$14,
IF('[9]VariablesINPUT-FCC'!$C$6='[9]State List'!$A$14,'[9]Nonpersonnel PCQC'!H14*'[9]Cost of living'!C$15,
IF('[9]VariablesINPUT-FCC'!$C$6='[9]State List'!$A$15,'[9]Nonpersonnel PCQC'!H14*'[9]Cost of living'!C$16,
IF('[9]VariablesINPUT-FCC'!$C$6='[9]State List'!$A$16,'[9]Nonpersonnel PCQC'!H14*'[9]Cost of living'!C$17,
IF('[9]VariablesINPUT-FCC'!$C$6='[9]State List'!$A$17,'[9]Nonpersonnel PCQC'!H14*'[9]Cost of living'!C$18,
IF('[9]VariablesINPUT-FCC'!$C$6='[9]State List'!$A$18,'[9]Nonpersonnel PCQC'!H14*'[9]Cost of living'!C$19,
IF('[9]VariablesINPUT-FCC'!$C$6='[9]State List'!$A$19,'[9]Nonpersonnel PCQC'!H14*'[9]Cost of living'!C$20,
IF('[9]VariablesINPUT-FCC'!$C$6='[9]State List'!$A$20,'[9]Nonpersonnel PCQC'!H14*'[9]Cost of living'!C$21,
IF('[9]VariablesINPUT-FCC'!$C$6='[9]State List'!$A$21,'[9]Nonpersonnel PCQC'!H14*'[9]Cost of living'!C30,
IF('[9]VariablesINPUT-FCC'!$C$6='[9]State List'!$A$22,'[9]Nonpersonnel PCQC'!H14*'[9]Cost of living'!C$23,
IF('[9]VariablesINPUT-FCC'!$C$6='[9]State List'!$A$23,'[9]Nonpersonnel PCQC'!H14*'[9]Cost of living'!C$24,
IF('[9]VariablesINPUT-FCC'!$C$6='[9]State List'!$A$24,'[9]Nonpersonnel PCQC'!H14*'[9]Cost of living'!C$25,
IF('[9]VariablesINPUT-FCC'!$C$6='[9]State List'!$A$25,'[9]Nonpersonnel PCQC'!H14*'[9]Cost of living'!C$26,
IF('[9]VariablesINPUT-FCC'!$C$6='[9]State List'!$A$26,'[9]Nonpersonnel PCQC'!H14*'[9]Cost of living'!C$27,
IF('[9]VariablesINPUT-FCC'!$C$6='[9]State List'!$A$27,'[9]Nonpersonnel PCQC'!H14*'[9]Cost of living'!C$28,
IF('[9]VariablesINPUT-FCC'!$C$6='[9]State List'!$A$28,'[9]Nonpersonnel PCQC'!H14*'[9]Cost of living'!C$29,
IF('[9]VariablesINPUT-FCC'!$C$6='[9]State List'!$A$29,'[9]Nonpersonnel PCQC'!H14*'[9]Cost of living'!C$30,
IF('[9]VariablesINPUT-FCC'!$C$6='[9]State List'!$A$30,'[9]Nonpersonnel PCQC'!H14*'[9]Cost of living'!C$31,
IF('[9]VariablesINPUT-FCC'!$C$6='[9]State List'!$A$31,'[9]Nonpersonnel PCQC'!H14*'[9]Cost of living'!C$32,
IF('[9]VariablesINPUT-FCC'!$C$6='[9]State List'!$A$32,'[9]Nonpersonnel PCQC'!H14*'[9]Cost of living'!C$33,
IF('[9]VariablesINPUT-FCC'!$C$6='[9]State List'!$A$33,'[9]Nonpersonnel PCQC'!H14*'[9]Cost of living'!C$34,
IF('[9]VariablesINPUT-FCC'!$C$6='[9]State List'!$A$34,'[9]Nonpersonnel PCQC'!H14*'[9]Cost of living'!C$35,
IF('[9]VariablesINPUT-FCC'!$C$6='[9]State List'!$A$35,'[9]Nonpersonnel PCQC'!H14*'[9]Cost of living'!C$36,
IF('[9]VariablesINPUT-FCC'!$C$6='[9]State List'!$A$36,'[9]Nonpersonnel PCQC'!H14*'[9]Cost of living'!C$37,
IF('[9]VariablesINPUT-FCC'!$C$6='[9]State List'!$A$37,'[9]Nonpersonnel PCQC'!H14*'[9]Cost of living'!C$38,
IF('[9]VariablesINPUT-FCC'!$C$6='[9]State List'!$A$38,'[9]Nonpersonnel PCQC'!H14*'[9]Cost of living'!C$39,
IF('[9]VariablesINPUT-FCC'!$C$6='[9]State List'!$A$39,'[9]Nonpersonnel PCQC'!H14*'[9]Cost of living'!C$40,
IF('[9]VariablesINPUT-FCC'!$C$6='[9]State List'!$A$40,'[9]Nonpersonnel PCQC'!H14*'[9]Cost of living'!C$41,
IF('[9]VariablesINPUT-FCC'!$C$6='[9]State List'!$A$41,'[9]Nonpersonnel PCQC'!H14*'[9]Cost of living'!C$42,
IF('[9]VariablesINPUT-FCC'!$C$6='[9]State List'!$A$42,'[9]Nonpersonnel PCQC'!H14*'[9]Cost of living'!C$43,
IF('[9]VariablesINPUT-FCC'!$C$6='[9]State List'!$A$43,'[9]Nonpersonnel PCQC'!H14*'[9]Cost of living'!C$44,
IF('[9]VariablesINPUT-FCC'!$C$6='[9]State List'!$A$44,'[9]Nonpersonnel PCQC'!H14*'[9]Cost of living'!C$45,
IF('[9]VariablesINPUT-FCC'!$C$6='[9]State List'!$A$45,'[9]Nonpersonnel PCQC'!H14*'[9]Cost of living'!C$46,
IF('[9]VariablesINPUT-FCC'!$C$6='[9]State List'!$A$46,'[9]Nonpersonnel PCQC'!H14*'[9]Cost of living'!C$47,
IF('[9]VariablesINPUT-FCC'!$C$6='[9]State List'!$A$47,'[9]Nonpersonnel PCQC'!H14*'[9]Cost of living'!C$48,
IF('[9]VariablesINPUT-FCC'!$C$6='[9]State List'!$A$48,'[9]Nonpersonnel PCQC'!H14*'[9]Cost of living'!C$49,
IF('[9]VariablesINPUT-FCC'!$C$6='[9]State List'!$A$49,'[9]Nonpersonnel PCQC'!H14*'[9]Cost of living'!C$50,
IF('[9]VariablesINPUT-FCC'!$C$6='[9]State List'!$A$50,'[9]Nonpersonnel PCQC'!H14*'[9]Cost of living'!C$51,
IF('[9]VariablesINPUT-FCC'!$C$6='[9]State List'!$A$51,'[9]Nonpersonnel PCQC'!H14*'[9]Cost of living'!C$52,
IF('[9]VariablesINPUT-FCC'!$C$6='[9]State List'!$A$52,'[9]Nonpersonnel PCQC'!H14*'[9]Cost of living'!C$53))))))))))))))))))))))))))))))))))))))))))))))))))))</f>
        <v>#VALUE!</v>
      </c>
      <c r="J15" s="21" t="e">
        <f t="shared" si="0"/>
        <v>#VALUE!</v>
      </c>
      <c r="K15" s="212" t="s">
        <v>278</v>
      </c>
      <c r="L15" s="411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44" ht="14" x14ac:dyDescent="0.15">
      <c r="A16" s="38" t="s">
        <v>297</v>
      </c>
      <c r="B16">
        <v>22</v>
      </c>
      <c r="C16" s="31">
        <f>SUM(65*C3*B16)</f>
        <v>134420</v>
      </c>
      <c r="D16" s="21">
        <f>C16*$E$2</f>
        <v>131673.79940000002</v>
      </c>
      <c r="E16" s="412" t="s">
        <v>282</v>
      </c>
      <c r="F16" s="413"/>
      <c r="G16" s="21" t="s">
        <v>298</v>
      </c>
      <c r="H16" s="410">
        <v>1800</v>
      </c>
      <c r="I16" s="21" t="e">
        <f>IF('[9]VariablesINPUT-FCC'!$C$6='[9]State List'!$A$1,'[9]Nonpersonnel PCQC'!H15*'[9]Cost of living'!C$2,
IF('[9]VariablesINPUT-FCC'!$C$6='[9]State List'!$A$2,'[9]Nonpersonnel PCQC'!H15*'[9]Cost of living'!C$3,
IF('[9]VariablesINPUT-FCC'!$C$6='[9]State List'!$A$3,'[9]Nonpersonnel PCQC'!H15*'[9]Cost of living'!C$4,
IF('[9]VariablesINPUT-FCC'!$C$6='[9]State List'!$A$4,'[9]Nonpersonnel PCQC'!H15*'[9]Cost of living'!C$5,
IF('[9]VariablesINPUT-FCC'!$C$6='[9]State List'!$A$5,'[9]Nonpersonnel PCQC'!H15*'[9]Cost of living'!C$6,
IF('[9]VariablesINPUT-FCC'!$C$6='[9]State List'!$A$6,'[9]Nonpersonnel PCQC'!H15*'[9]Cost of living'!C$7,
IF('[9]VariablesINPUT-FCC'!$C$6='[9]State List'!$A$7,'[9]Nonpersonnel PCQC'!H15*'[9]Cost of living'!C$8,
IF('[9]VariablesINPUT-FCC'!$C$6='[9]State List'!$A$8,'[9]Nonpersonnel PCQC'!H15*'[9]Cost of living'!C$9,
IF('[9]VariablesINPUT-FCC'!$C$6='[9]State List'!$A$9,'[9]Nonpersonnel PCQC'!H15*'[9]Cost of living'!C$10,
IF('[9]VariablesINPUT-FCC'!$C$6='[9]State List'!$A$10,'[9]Nonpersonnel PCQC'!H15*'[9]Cost of living'!C$11,
IF('[9]VariablesINPUT-FCC'!$C$6='[9]State List'!$A$11,'[9]Nonpersonnel PCQC'!H15*'[9]Cost of living'!C$12,
IF('[9]VariablesINPUT-FCC'!$C$6='[9]State List'!$A$12,'[9]Nonpersonnel PCQC'!H15*'[9]Cost of living'!C$13,
IF('[9]VariablesINPUT-FCC'!$C$6='[9]State List'!$A$13,'[9]Nonpersonnel PCQC'!H15*'[9]Cost of living'!C$14,
IF('[9]VariablesINPUT-FCC'!$C$6='[9]State List'!$A$14,'[9]Nonpersonnel PCQC'!H15*'[9]Cost of living'!C$15,
IF('[9]VariablesINPUT-FCC'!$C$6='[9]State List'!$A$15,'[9]Nonpersonnel PCQC'!H15*'[9]Cost of living'!C$16,
IF('[9]VariablesINPUT-FCC'!$C$6='[9]State List'!$A$16,'[9]Nonpersonnel PCQC'!H15*'[9]Cost of living'!C$17,
IF('[9]VariablesINPUT-FCC'!$C$6='[9]State List'!$A$17,'[9]Nonpersonnel PCQC'!H15*'[9]Cost of living'!C$18,
IF('[9]VariablesINPUT-FCC'!$C$6='[9]State List'!$A$18,'[9]Nonpersonnel PCQC'!H15*'[9]Cost of living'!C$19,
IF('[9]VariablesINPUT-FCC'!$C$6='[9]State List'!$A$19,'[9]Nonpersonnel PCQC'!H15*'[9]Cost of living'!C$20,
IF('[9]VariablesINPUT-FCC'!$C$6='[9]State List'!$A$20,'[9]Nonpersonnel PCQC'!H15*'[9]Cost of living'!C$21,
IF('[9]VariablesINPUT-FCC'!$C$6='[9]State List'!$A$21,'[9]Nonpersonnel PCQC'!H15*'[9]Cost of living'!C31,
IF('[9]VariablesINPUT-FCC'!$C$6='[9]State List'!$A$22,'[9]Nonpersonnel PCQC'!H15*'[9]Cost of living'!C$23,
IF('[9]VariablesINPUT-FCC'!$C$6='[9]State List'!$A$23,'[9]Nonpersonnel PCQC'!H15*'[9]Cost of living'!C$24,
IF('[9]VariablesINPUT-FCC'!$C$6='[9]State List'!$A$24,'[9]Nonpersonnel PCQC'!H15*'[9]Cost of living'!C$25,
IF('[9]VariablesINPUT-FCC'!$C$6='[9]State List'!$A$25,'[9]Nonpersonnel PCQC'!H15*'[9]Cost of living'!C$26,
IF('[9]VariablesINPUT-FCC'!$C$6='[9]State List'!$A$26,'[9]Nonpersonnel PCQC'!H15*'[9]Cost of living'!C$27,
IF('[9]VariablesINPUT-FCC'!$C$6='[9]State List'!$A$27,'[9]Nonpersonnel PCQC'!H15*'[9]Cost of living'!C$28,
IF('[9]VariablesINPUT-FCC'!$C$6='[9]State List'!$A$28,'[9]Nonpersonnel PCQC'!H15*'[9]Cost of living'!C$29,
IF('[9]VariablesINPUT-FCC'!$C$6='[9]State List'!$A$29,'[9]Nonpersonnel PCQC'!H15*'[9]Cost of living'!C$30,
IF('[9]VariablesINPUT-FCC'!$C$6='[9]State List'!$A$30,'[9]Nonpersonnel PCQC'!H15*'[9]Cost of living'!C$31,
IF('[9]VariablesINPUT-FCC'!$C$6='[9]State List'!$A$31,'[9]Nonpersonnel PCQC'!H15*'[9]Cost of living'!C$32,
IF('[9]VariablesINPUT-FCC'!$C$6='[9]State List'!$A$32,'[9]Nonpersonnel PCQC'!H15*'[9]Cost of living'!C$33,
IF('[9]VariablesINPUT-FCC'!$C$6='[9]State List'!$A$33,'[9]Nonpersonnel PCQC'!H15*'[9]Cost of living'!C$34,
IF('[9]VariablesINPUT-FCC'!$C$6='[9]State List'!$A$34,'[9]Nonpersonnel PCQC'!H15*'[9]Cost of living'!C$35,
IF('[9]VariablesINPUT-FCC'!$C$6='[9]State List'!$A$35,'[9]Nonpersonnel PCQC'!H15*'[9]Cost of living'!C$36,
IF('[9]VariablesINPUT-FCC'!$C$6='[9]State List'!$A$36,'[9]Nonpersonnel PCQC'!H15*'[9]Cost of living'!C$37,
IF('[9]VariablesINPUT-FCC'!$C$6='[9]State List'!$A$37,'[9]Nonpersonnel PCQC'!H15*'[9]Cost of living'!C$38,
IF('[9]VariablesINPUT-FCC'!$C$6='[9]State List'!$A$38,'[9]Nonpersonnel PCQC'!H15*'[9]Cost of living'!C$39,
IF('[9]VariablesINPUT-FCC'!$C$6='[9]State List'!$A$39,'[9]Nonpersonnel PCQC'!H15*'[9]Cost of living'!C$40,
IF('[9]VariablesINPUT-FCC'!$C$6='[9]State List'!$A$40,'[9]Nonpersonnel PCQC'!H15*'[9]Cost of living'!C$41,
IF('[9]VariablesINPUT-FCC'!$C$6='[9]State List'!$A$41,'[9]Nonpersonnel PCQC'!H15*'[9]Cost of living'!C$42,
IF('[9]VariablesINPUT-FCC'!$C$6='[9]State List'!$A$42,'[9]Nonpersonnel PCQC'!H15*'[9]Cost of living'!C$43,
IF('[9]VariablesINPUT-FCC'!$C$6='[9]State List'!$A$43,'[9]Nonpersonnel PCQC'!H15*'[9]Cost of living'!C$44,
IF('[9]VariablesINPUT-FCC'!$C$6='[9]State List'!$A$44,'[9]Nonpersonnel PCQC'!H15*'[9]Cost of living'!C$45,
IF('[9]VariablesINPUT-FCC'!$C$6='[9]State List'!$A$45,'[9]Nonpersonnel PCQC'!H15*'[9]Cost of living'!C$46,
IF('[9]VariablesINPUT-FCC'!$C$6='[9]State List'!$A$46,'[9]Nonpersonnel PCQC'!H15*'[9]Cost of living'!C$47,
IF('[9]VariablesINPUT-FCC'!$C$6='[9]State List'!$A$47,'[9]Nonpersonnel PCQC'!H15*'[9]Cost of living'!C$48,
IF('[9]VariablesINPUT-FCC'!$C$6='[9]State List'!$A$48,'[9]Nonpersonnel PCQC'!H15*'[9]Cost of living'!C$49,
IF('[9]VariablesINPUT-FCC'!$C$6='[9]State List'!$A$49,'[9]Nonpersonnel PCQC'!H15*'[9]Cost of living'!C$50,
IF('[9]VariablesINPUT-FCC'!$C$6='[9]State List'!$A$50,'[9]Nonpersonnel PCQC'!H15*'[9]Cost of living'!C$51,
IF('[9]VariablesINPUT-FCC'!$C$6='[9]State List'!$A$51,'[9]Nonpersonnel PCQC'!H15*'[9]Cost of living'!C$52,
IF('[9]VariablesINPUT-FCC'!$C$6='[9]State List'!$A$52,'[9]Nonpersonnel PCQC'!H15*'[9]Cost of living'!C$53))))))))))))))))))))))))))))))))))))))))))))))))))))</f>
        <v>#VALUE!</v>
      </c>
      <c r="J16" s="21" t="e">
        <f t="shared" si="0"/>
        <v>#VALUE!</v>
      </c>
      <c r="K16" s="212" t="s">
        <v>278</v>
      </c>
      <c r="L16" s="411"/>
    </row>
    <row r="17" spans="1:44" x14ac:dyDescent="0.15">
      <c r="A17" s="5" t="s">
        <v>299</v>
      </c>
      <c r="B17">
        <v>6</v>
      </c>
      <c r="C17" s="31">
        <f>SUM(B17*65)*C3</f>
        <v>36660</v>
      </c>
      <c r="D17" s="21">
        <f t="shared" ref="D17:D18" si="2">C17*$E$2</f>
        <v>35911.036200000002</v>
      </c>
      <c r="E17" s="412" t="s">
        <v>282</v>
      </c>
      <c r="F17" s="414"/>
      <c r="G17" s="21" t="s">
        <v>300</v>
      </c>
      <c r="H17" s="410">
        <v>296.89999999999998</v>
      </c>
      <c r="I17" s="410">
        <f>H17</f>
        <v>296.89999999999998</v>
      </c>
      <c r="J17" s="21">
        <f t="shared" si="0"/>
        <v>49.483333333333327</v>
      </c>
      <c r="L17" s="411"/>
    </row>
    <row r="18" spans="1:44" x14ac:dyDescent="0.15">
      <c r="A18" s="5" t="s">
        <v>301</v>
      </c>
      <c r="B18">
        <v>4</v>
      </c>
      <c r="C18" s="31">
        <f>SUM(65*C3*B18)</f>
        <v>24440</v>
      </c>
      <c r="D18" s="21">
        <f t="shared" si="2"/>
        <v>23940.6908</v>
      </c>
      <c r="E18" s="412" t="s">
        <v>282</v>
      </c>
      <c r="G18" s="19" t="s">
        <v>302</v>
      </c>
      <c r="H18" s="410">
        <v>130.30000000000001</v>
      </c>
      <c r="I18" s="410">
        <f>H18</f>
        <v>130.30000000000001</v>
      </c>
      <c r="J18" s="21">
        <f t="shared" si="0"/>
        <v>21.716666666666669</v>
      </c>
      <c r="L18" s="411"/>
    </row>
    <row r="19" spans="1:44" x14ac:dyDescent="0.15">
      <c r="A19" s="5"/>
      <c r="B19" s="5"/>
      <c r="C19" s="31"/>
      <c r="D19" s="21"/>
      <c r="G19" s="21" t="s">
        <v>303</v>
      </c>
      <c r="H19" s="410">
        <v>130.30000000000001</v>
      </c>
      <c r="I19" s="21" t="e">
        <f>IF('[9]VariablesINPUT-FCC'!$C$6='[9]State List'!$A$1,'[9]Nonpersonnel PCQC'!H18*'[9]Cost of living'!C$2,
IF('[9]VariablesINPUT-FCC'!$C$6='[9]State List'!$A$2,'[9]Nonpersonnel PCQC'!H18*'[9]Cost of living'!C$3,
IF('[9]VariablesINPUT-FCC'!$C$6='[9]State List'!$A$3,'[9]Nonpersonnel PCQC'!H18*'[9]Cost of living'!C$4,
IF('[9]VariablesINPUT-FCC'!$C$6='[9]State List'!$A$4,'[9]Nonpersonnel PCQC'!H18*'[9]Cost of living'!C$5,
IF('[9]VariablesINPUT-FCC'!$C$6='[9]State List'!$A$5,'[9]Nonpersonnel PCQC'!H18*'[9]Cost of living'!C$6,
IF('[9]VariablesINPUT-FCC'!$C$6='[9]State List'!$A$6,'[9]Nonpersonnel PCQC'!H18*'[9]Cost of living'!C$7,
IF('[9]VariablesINPUT-FCC'!$C$6='[9]State List'!$A$7,'[9]Nonpersonnel PCQC'!H18*'[9]Cost of living'!C$8,
IF('[9]VariablesINPUT-FCC'!$C$6='[9]State List'!$A$8,'[9]Nonpersonnel PCQC'!H18*'[9]Cost of living'!C$9,
IF('[9]VariablesINPUT-FCC'!$C$6='[9]State List'!$A$9,'[9]Nonpersonnel PCQC'!H18*'[9]Cost of living'!C$10,
IF('[9]VariablesINPUT-FCC'!$C$6='[9]State List'!$A$10,'[9]Nonpersonnel PCQC'!H18*'[9]Cost of living'!C$11,
IF('[9]VariablesINPUT-FCC'!$C$6='[9]State List'!$A$11,'[9]Nonpersonnel PCQC'!H18*'[9]Cost of living'!C$12,
IF('[9]VariablesINPUT-FCC'!$C$6='[9]State List'!$A$12,'[9]Nonpersonnel PCQC'!H18*'[9]Cost of living'!C$13,
IF('[9]VariablesINPUT-FCC'!$C$6='[9]State List'!$A$13,'[9]Nonpersonnel PCQC'!H18*'[9]Cost of living'!C$14,
IF('[9]VariablesINPUT-FCC'!$C$6='[9]State List'!$A$14,'[9]Nonpersonnel PCQC'!H18*'[9]Cost of living'!C$15,
IF('[9]VariablesINPUT-FCC'!$C$6='[9]State List'!$A$15,'[9]Nonpersonnel PCQC'!H18*'[9]Cost of living'!C$16,
IF('[9]VariablesINPUT-FCC'!$C$6='[9]State List'!$A$16,'[9]Nonpersonnel PCQC'!H18*'[9]Cost of living'!C$17,
IF('[9]VariablesINPUT-FCC'!$C$6='[9]State List'!$A$17,'[9]Nonpersonnel PCQC'!H18*'[9]Cost of living'!C$18,
IF('[9]VariablesINPUT-FCC'!$C$6='[9]State List'!$A$18,'[9]Nonpersonnel PCQC'!H18*'[9]Cost of living'!C$19,
IF('[9]VariablesINPUT-FCC'!$C$6='[9]State List'!$A$19,'[9]Nonpersonnel PCQC'!H18*'[9]Cost of living'!C$20,
IF('[9]VariablesINPUT-FCC'!$C$6='[9]State List'!$A$20,'[9]Nonpersonnel PCQC'!H18*'[9]Cost of living'!C$21,
IF('[9]VariablesINPUT-FCC'!$C$6='[9]State List'!$A$21,'[9]Nonpersonnel PCQC'!H18*'[9]Cost of living'!C34,
IF('[9]VariablesINPUT-FCC'!$C$6='[9]State List'!$A$22,'[9]Nonpersonnel PCQC'!H18*'[9]Cost of living'!C$23,
IF('[9]VariablesINPUT-FCC'!$C$6='[9]State List'!$A$23,'[9]Nonpersonnel PCQC'!H18*'[9]Cost of living'!C$24,
IF('[9]VariablesINPUT-FCC'!$C$6='[9]State List'!$A$24,'[9]Nonpersonnel PCQC'!H18*'[9]Cost of living'!C$25,
IF('[9]VariablesINPUT-FCC'!$C$6='[9]State List'!$A$25,'[9]Nonpersonnel PCQC'!H18*'[9]Cost of living'!C$26,
IF('[9]VariablesINPUT-FCC'!$C$6='[9]State List'!$A$26,'[9]Nonpersonnel PCQC'!H18*'[9]Cost of living'!C$27,
IF('[9]VariablesINPUT-FCC'!$C$6='[9]State List'!$A$27,'[9]Nonpersonnel PCQC'!H18*'[9]Cost of living'!C$28,
IF('[9]VariablesINPUT-FCC'!$C$6='[9]State List'!$A$28,'[9]Nonpersonnel PCQC'!H18*'[9]Cost of living'!C$29,
IF('[9]VariablesINPUT-FCC'!$C$6='[9]State List'!$A$29,'[9]Nonpersonnel PCQC'!H18*'[9]Cost of living'!C$30,
IF('[9]VariablesINPUT-FCC'!$C$6='[9]State List'!$A$30,'[9]Nonpersonnel PCQC'!H18*'[9]Cost of living'!C$31,
IF('[9]VariablesINPUT-FCC'!$C$6='[9]State List'!$A$31,'[9]Nonpersonnel PCQC'!H18*'[9]Cost of living'!C$32,
IF('[9]VariablesINPUT-FCC'!$C$6='[9]State List'!$A$32,'[9]Nonpersonnel PCQC'!H18*'[9]Cost of living'!C$33,
IF('[9]VariablesINPUT-FCC'!$C$6='[9]State List'!$A$33,'[9]Nonpersonnel PCQC'!H18*'[9]Cost of living'!C$34,
IF('[9]VariablesINPUT-FCC'!$C$6='[9]State List'!$A$34,'[9]Nonpersonnel PCQC'!H18*'[9]Cost of living'!C$35,
IF('[9]VariablesINPUT-FCC'!$C$6='[9]State List'!$A$35,'[9]Nonpersonnel PCQC'!H18*'[9]Cost of living'!C$36,
IF('[9]VariablesINPUT-FCC'!$C$6='[9]State List'!$A$36,'[9]Nonpersonnel PCQC'!H18*'[9]Cost of living'!C$37,
IF('[9]VariablesINPUT-FCC'!$C$6='[9]State List'!$A$37,'[9]Nonpersonnel PCQC'!H18*'[9]Cost of living'!C$38,
IF('[9]VariablesINPUT-FCC'!$C$6='[9]State List'!$A$38,'[9]Nonpersonnel PCQC'!H18*'[9]Cost of living'!C$39,
IF('[9]VariablesINPUT-FCC'!$C$6='[9]State List'!$A$39,'[9]Nonpersonnel PCQC'!H18*'[9]Cost of living'!C$40,
IF('[9]VariablesINPUT-FCC'!$C$6='[9]State List'!$A$40,'[9]Nonpersonnel PCQC'!H18*'[9]Cost of living'!C$41,
IF('[9]VariablesINPUT-FCC'!$C$6='[9]State List'!$A$41,'[9]Nonpersonnel PCQC'!H18*'[9]Cost of living'!C$42,
IF('[9]VariablesINPUT-FCC'!$C$6='[9]State List'!$A$42,'[9]Nonpersonnel PCQC'!H18*'[9]Cost of living'!C$43,
IF('[9]VariablesINPUT-FCC'!$C$6='[9]State List'!$A$43,'[9]Nonpersonnel PCQC'!H18*'[9]Cost of living'!C$44,
IF('[9]VariablesINPUT-FCC'!$C$6='[9]State List'!$A$44,'[9]Nonpersonnel PCQC'!H18*'[9]Cost of living'!C$45,
IF('[9]VariablesINPUT-FCC'!$C$6='[9]State List'!$A$45,'[9]Nonpersonnel PCQC'!H18*'[9]Cost of living'!C$46,
IF('[9]VariablesINPUT-FCC'!$C$6='[9]State List'!$A$46,'[9]Nonpersonnel PCQC'!H18*'[9]Cost of living'!C$47,
IF('[9]VariablesINPUT-FCC'!$C$6='[9]State List'!$A$47,'[9]Nonpersonnel PCQC'!H18*'[9]Cost of living'!C$48,
IF('[9]VariablesINPUT-FCC'!$C$6='[9]State List'!$A$48,'[9]Nonpersonnel PCQC'!H18*'[9]Cost of living'!C$49,
IF('[9]VariablesINPUT-FCC'!$C$6='[9]State List'!$A$49,'[9]Nonpersonnel PCQC'!H18*'[9]Cost of living'!C$50,
IF('[9]VariablesINPUT-FCC'!$C$6='[9]State List'!$A$50,'[9]Nonpersonnel PCQC'!H18*'[9]Cost of living'!C$51,
IF('[9]VariablesINPUT-FCC'!$C$6='[9]State List'!$A$51,'[9]Nonpersonnel PCQC'!H18*'[9]Cost of living'!C$52,
IF('[9]VariablesINPUT-FCC'!$C$6='[9]State List'!$A$52,'[9]Nonpersonnel PCQC'!H18*'[9]Cost of living'!C$53))))))))))))))))))))))))))))))))))))))))))))))))))))</f>
        <v>#VALUE!</v>
      </c>
      <c r="J19" s="21" t="e">
        <f t="shared" si="0"/>
        <v>#VALUE!</v>
      </c>
      <c r="K19" s="212" t="s">
        <v>278</v>
      </c>
      <c r="L19" s="411"/>
    </row>
    <row r="20" spans="1:44" s="29" customFormat="1" x14ac:dyDescent="0.15">
      <c r="A20" s="36" t="s">
        <v>304</v>
      </c>
      <c r="B20" s="397"/>
      <c r="C20" s="62"/>
      <c r="D20" s="63"/>
      <c r="E20" s="400"/>
      <c r="F20" s="413"/>
      <c r="G20" s="21" t="s">
        <v>305</v>
      </c>
      <c r="H20" s="4">
        <v>213.6</v>
      </c>
      <c r="I20" s="6">
        <f>H20</f>
        <v>213.6</v>
      </c>
      <c r="J20" s="21">
        <f t="shared" si="0"/>
        <v>35.6</v>
      </c>
      <c r="K20" s="400"/>
      <c r="L20" s="411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</row>
    <row r="21" spans="1:44" x14ac:dyDescent="0.15">
      <c r="A21" s="5" t="s">
        <v>306</v>
      </c>
      <c r="B21">
        <v>2243</v>
      </c>
      <c r="C21" s="31">
        <f>SUM(B21*C3)</f>
        <v>210842</v>
      </c>
      <c r="D21" s="21">
        <f>C21*$E$2</f>
        <v>206534.49794</v>
      </c>
      <c r="E21" s="212" t="s">
        <v>282</v>
      </c>
      <c r="F21" s="414"/>
      <c r="G21" s="21" t="s">
        <v>307</v>
      </c>
      <c r="H21" s="4"/>
      <c r="J21" s="21">
        <f t="shared" si="0"/>
        <v>0</v>
      </c>
      <c r="L21" s="411"/>
    </row>
    <row r="22" spans="1:44" x14ac:dyDescent="0.15">
      <c r="A22" s="5" t="s">
        <v>308</v>
      </c>
      <c r="B22">
        <v>148</v>
      </c>
      <c r="C22" s="31">
        <f>B22*C3</f>
        <v>13912</v>
      </c>
      <c r="D22" s="4">
        <f>C22</f>
        <v>13912</v>
      </c>
      <c r="F22" s="415"/>
      <c r="G22" s="21" t="s">
        <v>309</v>
      </c>
      <c r="H22" s="4">
        <v>1200</v>
      </c>
      <c r="I22" s="21" t="e">
        <f>IF('[9]VariablesINPUT-FCC'!$C$6='[9]State List'!$A$1,'[9]Nonpersonnel PCQC'!H21*'[9]Cost of living'!C$2,
IF('[9]VariablesINPUT-FCC'!$C$6='[9]State List'!$A$2,'[9]Nonpersonnel PCQC'!H21*'[9]Cost of living'!C$3,
IF('[9]VariablesINPUT-FCC'!$C$6='[9]State List'!$A$3,'[9]Nonpersonnel PCQC'!H21*'[9]Cost of living'!C$4,
IF('[9]VariablesINPUT-FCC'!$C$6='[9]State List'!$A$4,'[9]Nonpersonnel PCQC'!H21*'[9]Cost of living'!C$5,
IF('[9]VariablesINPUT-FCC'!$C$6='[9]State List'!$A$5,'[9]Nonpersonnel PCQC'!H21*'[9]Cost of living'!C$6,
IF('[9]VariablesINPUT-FCC'!$C$6='[9]State List'!$A$6,'[9]Nonpersonnel PCQC'!H21*'[9]Cost of living'!C$7,
IF('[9]VariablesINPUT-FCC'!$C$6='[9]State List'!$A$7,'[9]Nonpersonnel PCQC'!H21*'[9]Cost of living'!C$8,
IF('[9]VariablesINPUT-FCC'!$C$6='[9]State List'!$A$8,'[9]Nonpersonnel PCQC'!H21*'[9]Cost of living'!C$9,
IF('[9]VariablesINPUT-FCC'!$C$6='[9]State List'!$A$9,'[9]Nonpersonnel PCQC'!H21*'[9]Cost of living'!C$10,
IF('[9]VariablesINPUT-FCC'!$C$6='[9]State List'!$A$10,'[9]Nonpersonnel PCQC'!H21*'[9]Cost of living'!C$11,
IF('[9]VariablesINPUT-FCC'!$C$6='[9]State List'!$A$11,'[9]Nonpersonnel PCQC'!H21*'[9]Cost of living'!C$12,
IF('[9]VariablesINPUT-FCC'!$C$6='[9]State List'!$A$12,'[9]Nonpersonnel PCQC'!H21*'[9]Cost of living'!C$13,
IF('[9]VariablesINPUT-FCC'!$C$6='[9]State List'!$A$13,'[9]Nonpersonnel PCQC'!H21*'[9]Cost of living'!C$14,
IF('[9]VariablesINPUT-FCC'!$C$6='[9]State List'!$A$14,'[9]Nonpersonnel PCQC'!H21*'[9]Cost of living'!C$15,
IF('[9]VariablesINPUT-FCC'!$C$6='[9]State List'!$A$15,'[9]Nonpersonnel PCQC'!H21*'[9]Cost of living'!C$16,
IF('[9]VariablesINPUT-FCC'!$C$6='[9]State List'!$A$16,'[9]Nonpersonnel PCQC'!H21*'[9]Cost of living'!C$17,
IF('[9]VariablesINPUT-FCC'!$C$6='[9]State List'!$A$17,'[9]Nonpersonnel PCQC'!H21*'[9]Cost of living'!C$18,
IF('[9]VariablesINPUT-FCC'!$C$6='[9]State List'!$A$18,'[9]Nonpersonnel PCQC'!H21*'[9]Cost of living'!C$19,
IF('[9]VariablesINPUT-FCC'!$C$6='[9]State List'!$A$19,'[9]Nonpersonnel PCQC'!H21*'[9]Cost of living'!C$20,
IF('[9]VariablesINPUT-FCC'!$C$6='[9]State List'!$A$20,'[9]Nonpersonnel PCQC'!H21*'[9]Cost of living'!C$21,
IF('[9]VariablesINPUT-FCC'!$C$6='[9]State List'!$A$21,'[9]Nonpersonnel PCQC'!H21*'[9]Cost of living'!C37,
IF('[9]VariablesINPUT-FCC'!$C$6='[9]State List'!$A$22,'[9]Nonpersonnel PCQC'!H21*'[9]Cost of living'!C$23,
IF('[9]VariablesINPUT-FCC'!$C$6='[9]State List'!$A$23,'[9]Nonpersonnel PCQC'!H21*'[9]Cost of living'!C$24,
IF('[9]VariablesINPUT-FCC'!$C$6='[9]State List'!$A$24,'[9]Nonpersonnel PCQC'!H21*'[9]Cost of living'!C$25,
IF('[9]VariablesINPUT-FCC'!$C$6='[9]State List'!$A$25,'[9]Nonpersonnel PCQC'!H21*'[9]Cost of living'!C$26,
IF('[9]VariablesINPUT-FCC'!$C$6='[9]State List'!$A$26,'[9]Nonpersonnel PCQC'!H21*'[9]Cost of living'!C$27,
IF('[9]VariablesINPUT-FCC'!$C$6='[9]State List'!$A$27,'[9]Nonpersonnel PCQC'!H21*'[9]Cost of living'!C$28,
IF('[9]VariablesINPUT-FCC'!$C$6='[9]State List'!$A$28,'[9]Nonpersonnel PCQC'!H21*'[9]Cost of living'!C$29,
IF('[9]VariablesINPUT-FCC'!$C$6='[9]State List'!$A$29,'[9]Nonpersonnel PCQC'!H21*'[9]Cost of living'!C$30,
IF('[9]VariablesINPUT-FCC'!$C$6='[9]State List'!$A$30,'[9]Nonpersonnel PCQC'!H21*'[9]Cost of living'!C$31,
IF('[9]VariablesINPUT-FCC'!$C$6='[9]State List'!$A$31,'[9]Nonpersonnel PCQC'!H21*'[9]Cost of living'!C$32,
IF('[9]VariablesINPUT-FCC'!$C$6='[9]State List'!$A$32,'[9]Nonpersonnel PCQC'!H21*'[9]Cost of living'!C$33,
IF('[9]VariablesINPUT-FCC'!$C$6='[9]State List'!$A$33,'[9]Nonpersonnel PCQC'!H21*'[9]Cost of living'!C$34,
IF('[9]VariablesINPUT-FCC'!$C$6='[9]State List'!$A$34,'[9]Nonpersonnel PCQC'!H21*'[9]Cost of living'!C$35,
IF('[9]VariablesINPUT-FCC'!$C$6='[9]State List'!$A$35,'[9]Nonpersonnel PCQC'!H21*'[9]Cost of living'!C$36,
IF('[9]VariablesINPUT-FCC'!$C$6='[9]State List'!$A$36,'[9]Nonpersonnel PCQC'!H21*'[9]Cost of living'!C$37,
IF('[9]VariablesINPUT-FCC'!$C$6='[9]State List'!$A$37,'[9]Nonpersonnel PCQC'!H21*'[9]Cost of living'!C$38,
IF('[9]VariablesINPUT-FCC'!$C$6='[9]State List'!$A$38,'[9]Nonpersonnel PCQC'!H21*'[9]Cost of living'!C$39,
IF('[9]VariablesINPUT-FCC'!$C$6='[9]State List'!$A$39,'[9]Nonpersonnel PCQC'!H21*'[9]Cost of living'!C$40,
IF('[9]VariablesINPUT-FCC'!$C$6='[9]State List'!$A$40,'[9]Nonpersonnel PCQC'!H21*'[9]Cost of living'!C$41,
IF('[9]VariablesINPUT-FCC'!$C$6='[9]State List'!$A$41,'[9]Nonpersonnel PCQC'!H21*'[9]Cost of living'!C$42,
IF('[9]VariablesINPUT-FCC'!$C$6='[9]State List'!$A$42,'[9]Nonpersonnel PCQC'!H21*'[9]Cost of living'!C$43,
IF('[9]VariablesINPUT-FCC'!$C$6='[9]State List'!$A$43,'[9]Nonpersonnel PCQC'!H21*'[9]Cost of living'!C$44,
IF('[9]VariablesINPUT-FCC'!$C$6='[9]State List'!$A$44,'[9]Nonpersonnel PCQC'!H21*'[9]Cost of living'!C$45,
IF('[9]VariablesINPUT-FCC'!$C$6='[9]State List'!$A$45,'[9]Nonpersonnel PCQC'!H21*'[9]Cost of living'!C$46,
IF('[9]VariablesINPUT-FCC'!$C$6='[9]State List'!$A$46,'[9]Nonpersonnel PCQC'!H21*'[9]Cost of living'!C$47,
IF('[9]VariablesINPUT-FCC'!$C$6='[9]State List'!$A$47,'[9]Nonpersonnel PCQC'!H21*'[9]Cost of living'!C$48,
IF('[9]VariablesINPUT-FCC'!$C$6='[9]State List'!$A$48,'[9]Nonpersonnel PCQC'!H21*'[9]Cost of living'!C$49,
IF('[9]VariablesINPUT-FCC'!$C$6='[9]State List'!$A$49,'[9]Nonpersonnel PCQC'!H21*'[9]Cost of living'!C$50,
IF('[9]VariablesINPUT-FCC'!$C$6='[9]State List'!$A$50,'[9]Nonpersonnel PCQC'!H21*'[9]Cost of living'!C$51,
IF('[9]VariablesINPUT-FCC'!$C$6='[9]State List'!$A$51,'[9]Nonpersonnel PCQC'!H21*'[9]Cost of living'!C$52,
IF('[9]VariablesINPUT-FCC'!$C$6='[9]State List'!$A$52,'[9]Nonpersonnel PCQC'!H21*'[9]Cost of living'!C$53))))))))))))))))))))))))))))))))))))))))))))))))))))</f>
        <v>#VALUE!</v>
      </c>
      <c r="J22" s="21" t="e">
        <f t="shared" si="0"/>
        <v>#VALUE!</v>
      </c>
      <c r="K22" s="212" t="s">
        <v>278</v>
      </c>
      <c r="L22" s="411"/>
    </row>
    <row r="23" spans="1:44" x14ac:dyDescent="0.15">
      <c r="A23" s="5" t="s">
        <v>310</v>
      </c>
      <c r="B23">
        <v>67</v>
      </c>
      <c r="C23" s="31">
        <f>B23*C3</f>
        <v>6298</v>
      </c>
      <c r="D23" s="21">
        <f>C23</f>
        <v>6298</v>
      </c>
      <c r="G23" s="416" t="s">
        <v>76</v>
      </c>
      <c r="H23" s="63">
        <f>SUM(H6:H22)</f>
        <v>17679.959999999995</v>
      </c>
      <c r="I23" s="63" t="e">
        <f>SUM(I6:I22)</f>
        <v>#VALUE!</v>
      </c>
      <c r="J23" s="63"/>
      <c r="L23" s="21"/>
    </row>
    <row r="24" spans="1:44" x14ac:dyDescent="0.15">
      <c r="A24" s="5" t="s">
        <v>311</v>
      </c>
      <c r="B24">
        <v>119</v>
      </c>
      <c r="C24" s="31">
        <f>B24*C3</f>
        <v>11186</v>
      </c>
      <c r="D24" s="21">
        <f>C24</f>
        <v>11186</v>
      </c>
      <c r="G24" s="21"/>
      <c r="H24" s="4"/>
      <c r="L24" s="411"/>
    </row>
    <row r="25" spans="1:44" x14ac:dyDescent="0.15">
      <c r="A25" s="5" t="s">
        <v>312</v>
      </c>
      <c r="B25">
        <v>24</v>
      </c>
      <c r="C25" s="69">
        <f>B25*C3</f>
        <v>2256</v>
      </c>
      <c r="D25" s="21">
        <f>C25*$E$2</f>
        <v>2209.9099200000001</v>
      </c>
      <c r="E25" s="212" t="s">
        <v>282</v>
      </c>
      <c r="G25" s="21" t="s">
        <v>313</v>
      </c>
      <c r="H25" s="21">
        <v>18561.75</v>
      </c>
      <c r="I25" s="21" t="e">
        <f>IF('[9]VariablesINPUT-FCC'!$C$6='[9]State List'!$A$1,'[9]Nonpersonnel PCQC'!H24*'[9]Cost of living'!C$2,
IF('[9]VariablesINPUT-FCC'!$C$6='[9]State List'!$A$2,'[9]Nonpersonnel PCQC'!H24*'[9]Cost of living'!C$3,
IF('[9]VariablesINPUT-FCC'!$C$6='[9]State List'!$A$3,'[9]Nonpersonnel PCQC'!H24*'[9]Cost of living'!C$4,
IF('[9]VariablesINPUT-FCC'!$C$6='[9]State List'!$A$4,'[9]Nonpersonnel PCQC'!H24*'[9]Cost of living'!C$5,
IF('[9]VariablesINPUT-FCC'!$C$6='[9]State List'!$A$5,'[9]Nonpersonnel PCQC'!H24*'[9]Cost of living'!C$6,
IF('[9]VariablesINPUT-FCC'!$C$6='[9]State List'!$A$6,'[9]Nonpersonnel PCQC'!H24*'[9]Cost of living'!C$7,
IF('[9]VariablesINPUT-FCC'!$C$6='[9]State List'!$A$7,'[9]Nonpersonnel PCQC'!H24*'[9]Cost of living'!C$8,
IF('[9]VariablesINPUT-FCC'!$C$6='[9]State List'!$A$8,'[9]Nonpersonnel PCQC'!H24*'[9]Cost of living'!C$9,
IF('[9]VariablesINPUT-FCC'!$C$6='[9]State List'!$A$9,'[9]Nonpersonnel PCQC'!H24*'[9]Cost of living'!C$10,
IF('[9]VariablesINPUT-FCC'!$C$6='[9]State List'!$A$10,'[9]Nonpersonnel PCQC'!H24*'[9]Cost of living'!C$11,
IF('[9]VariablesINPUT-FCC'!$C$6='[9]State List'!$A$11,'[9]Nonpersonnel PCQC'!H24*'[9]Cost of living'!C$12,
IF('[9]VariablesINPUT-FCC'!$C$6='[9]State List'!$A$12,'[9]Nonpersonnel PCQC'!H24*'[9]Cost of living'!C$13,
IF('[9]VariablesINPUT-FCC'!$C$6='[9]State List'!$A$13,'[9]Nonpersonnel PCQC'!H24*'[9]Cost of living'!C$14,
IF('[9]VariablesINPUT-FCC'!$C$6='[9]State List'!$A$14,'[9]Nonpersonnel PCQC'!H24*'[9]Cost of living'!C$15,
IF('[9]VariablesINPUT-FCC'!$C$6='[9]State List'!$A$15,'[9]Nonpersonnel PCQC'!H24*'[9]Cost of living'!C$16,
IF('[9]VariablesINPUT-FCC'!$C$6='[9]State List'!$A$16,'[9]Nonpersonnel PCQC'!H24*'[9]Cost of living'!C$17,
IF('[9]VariablesINPUT-FCC'!$C$6='[9]State List'!$A$17,'[9]Nonpersonnel PCQC'!H24*'[9]Cost of living'!C$18,
IF('[9]VariablesINPUT-FCC'!$C$6='[9]State List'!$A$18,'[9]Nonpersonnel PCQC'!H24*'[9]Cost of living'!C$19,
IF('[9]VariablesINPUT-FCC'!$C$6='[9]State List'!$A$19,'[9]Nonpersonnel PCQC'!H24*'[9]Cost of living'!C$20,
IF('[9]VariablesINPUT-FCC'!$C$6='[9]State List'!$A$20,'[9]Nonpersonnel PCQC'!H24*'[9]Cost of living'!C$21,
IF('[9]VariablesINPUT-FCC'!$C$6='[9]State List'!$A$21,'[9]Nonpersonnel PCQC'!H24*'[9]Cost of living'!C40,
IF('[9]VariablesINPUT-FCC'!$C$6='[9]State List'!$A$22,'[9]Nonpersonnel PCQC'!H24*'[9]Cost of living'!C$23,
IF('[9]VariablesINPUT-FCC'!$C$6='[9]State List'!$A$23,'[9]Nonpersonnel PCQC'!H24*'[9]Cost of living'!C$24,
IF('[9]VariablesINPUT-FCC'!$C$6='[9]State List'!$A$24,'[9]Nonpersonnel PCQC'!H24*'[9]Cost of living'!C$25,
IF('[9]VariablesINPUT-FCC'!$C$6='[9]State List'!$A$25,'[9]Nonpersonnel PCQC'!H24*'[9]Cost of living'!C$26,
IF('[9]VariablesINPUT-FCC'!$C$6='[9]State List'!$A$26,'[9]Nonpersonnel PCQC'!H24*'[9]Cost of living'!C$27,
IF('[9]VariablesINPUT-FCC'!$C$6='[9]State List'!$A$27,'[9]Nonpersonnel PCQC'!H24*'[9]Cost of living'!C$28,
IF('[9]VariablesINPUT-FCC'!$C$6='[9]State List'!$A$28,'[9]Nonpersonnel PCQC'!H24*'[9]Cost of living'!C$29,
IF('[9]VariablesINPUT-FCC'!$C$6='[9]State List'!$A$29,'[9]Nonpersonnel PCQC'!H24*'[9]Cost of living'!C$30,
IF('[9]VariablesINPUT-FCC'!$C$6='[9]State List'!$A$30,'[9]Nonpersonnel PCQC'!H24*'[9]Cost of living'!C$31,
IF('[9]VariablesINPUT-FCC'!$C$6='[9]State List'!$A$31,'[9]Nonpersonnel PCQC'!H24*'[9]Cost of living'!C$32,
IF('[9]VariablesINPUT-FCC'!$C$6='[9]State List'!$A$32,'[9]Nonpersonnel PCQC'!H24*'[9]Cost of living'!C$33,
IF('[9]VariablesINPUT-FCC'!$C$6='[9]State List'!$A$33,'[9]Nonpersonnel PCQC'!H24*'[9]Cost of living'!C$34,
IF('[9]VariablesINPUT-FCC'!$C$6='[9]State List'!$A$34,'[9]Nonpersonnel PCQC'!H24*'[9]Cost of living'!C$35,
IF('[9]VariablesINPUT-FCC'!$C$6='[9]State List'!$A$35,'[9]Nonpersonnel PCQC'!H24*'[9]Cost of living'!C$36,
IF('[9]VariablesINPUT-FCC'!$C$6='[9]State List'!$A$36,'[9]Nonpersonnel PCQC'!H24*'[9]Cost of living'!C$37,
IF('[9]VariablesINPUT-FCC'!$C$6='[9]State List'!$A$37,'[9]Nonpersonnel PCQC'!H24*'[9]Cost of living'!C$38,
IF('[9]VariablesINPUT-FCC'!$C$6='[9]State List'!$A$38,'[9]Nonpersonnel PCQC'!H24*'[9]Cost of living'!C$39,
IF('[9]VariablesINPUT-FCC'!$C$6='[9]State List'!$A$39,'[9]Nonpersonnel PCQC'!H24*'[9]Cost of living'!C$40,
IF('[9]VariablesINPUT-FCC'!$C$6='[9]State List'!$A$40,'[9]Nonpersonnel PCQC'!H24*'[9]Cost of living'!C$41,
IF('[9]VariablesINPUT-FCC'!$C$6='[9]State List'!$A$41,'[9]Nonpersonnel PCQC'!H24*'[9]Cost of living'!C$42,
IF('[9]VariablesINPUT-FCC'!$C$6='[9]State List'!$A$42,'[9]Nonpersonnel PCQC'!H24*'[9]Cost of living'!C$43,
IF('[9]VariablesINPUT-FCC'!$C$6='[9]State List'!$A$43,'[9]Nonpersonnel PCQC'!H24*'[9]Cost of living'!C$44,
IF('[9]VariablesINPUT-FCC'!$C$6='[9]State List'!$A$44,'[9]Nonpersonnel PCQC'!H24*'[9]Cost of living'!C$45,
IF('[9]VariablesINPUT-FCC'!$C$6='[9]State List'!$A$45,'[9]Nonpersonnel PCQC'!H24*'[9]Cost of living'!C$46,
IF('[9]VariablesINPUT-FCC'!$C$6='[9]State List'!$A$46,'[9]Nonpersonnel PCQC'!H24*'[9]Cost of living'!C$47,
IF('[9]VariablesINPUT-FCC'!$C$6='[9]State List'!$A$47,'[9]Nonpersonnel PCQC'!H24*'[9]Cost of living'!C$48,
IF('[9]VariablesINPUT-FCC'!$C$6='[9]State List'!$A$48,'[9]Nonpersonnel PCQC'!H24*'[9]Cost of living'!C$49,
IF('[9]VariablesINPUT-FCC'!$C$6='[9]State List'!$A$49,'[9]Nonpersonnel PCQC'!H24*'[9]Cost of living'!C$50,
IF('[9]VariablesINPUT-FCC'!$C$6='[9]State List'!$A$50,'[9]Nonpersonnel PCQC'!H24*'[9]Cost of living'!C$51,
IF('[9]VariablesINPUT-FCC'!$C$6='[9]State List'!$A$51,'[9]Nonpersonnel PCQC'!H24*'[9]Cost of living'!C$52,
IF('[9]VariablesINPUT-FCC'!$C$6='[9]State List'!$A$52,'[9]Nonpersonnel PCQC'!H24*'[9]Cost of living'!C$53))))))))))))))))))))))))))))))))))))))))))))))))))))</f>
        <v>#VALUE!</v>
      </c>
      <c r="J25" s="21" t="e">
        <f t="shared" ref="J25:J29" si="3">I25/6</f>
        <v>#VALUE!</v>
      </c>
      <c r="K25" s="212" t="s">
        <v>278</v>
      </c>
      <c r="L25" s="411"/>
    </row>
    <row r="26" spans="1:44" x14ac:dyDescent="0.15">
      <c r="A26" s="5" t="s">
        <v>314</v>
      </c>
      <c r="B26">
        <v>41</v>
      </c>
      <c r="C26" s="31">
        <f>B26*C3</f>
        <v>3854</v>
      </c>
      <c r="D26" s="4">
        <f>C26</f>
        <v>3854</v>
      </c>
      <c r="G26" s="21" t="s">
        <v>315</v>
      </c>
      <c r="H26" s="21">
        <v>1820</v>
      </c>
      <c r="I26" s="21" t="e">
        <f>IF('[9]VariablesINPUT-FCC'!$C$6='[9]State List'!$A$1,'[9]Nonpersonnel PCQC'!H25*'[9]Cost of living'!C$2,
IF('[9]VariablesINPUT-FCC'!$C$6='[9]State List'!$A$2,'[9]Nonpersonnel PCQC'!H25*'[9]Cost of living'!C$3,
IF('[9]VariablesINPUT-FCC'!$C$6='[9]State List'!$A$3,'[9]Nonpersonnel PCQC'!H25*'[9]Cost of living'!C$4,
IF('[9]VariablesINPUT-FCC'!$C$6='[9]State List'!$A$4,'[9]Nonpersonnel PCQC'!H25*'[9]Cost of living'!C$5,
IF('[9]VariablesINPUT-FCC'!$C$6='[9]State List'!$A$5,'[9]Nonpersonnel PCQC'!H25*'[9]Cost of living'!C$6,
IF('[9]VariablesINPUT-FCC'!$C$6='[9]State List'!$A$6,'[9]Nonpersonnel PCQC'!H25*'[9]Cost of living'!C$7,
IF('[9]VariablesINPUT-FCC'!$C$6='[9]State List'!$A$7,'[9]Nonpersonnel PCQC'!H25*'[9]Cost of living'!C$8,
IF('[9]VariablesINPUT-FCC'!$C$6='[9]State List'!$A$8,'[9]Nonpersonnel PCQC'!H25*'[9]Cost of living'!C$9,
IF('[9]VariablesINPUT-FCC'!$C$6='[9]State List'!$A$9,'[9]Nonpersonnel PCQC'!H25*'[9]Cost of living'!C$10,
IF('[9]VariablesINPUT-FCC'!$C$6='[9]State List'!$A$10,'[9]Nonpersonnel PCQC'!H25*'[9]Cost of living'!C$11,
IF('[9]VariablesINPUT-FCC'!$C$6='[9]State List'!$A$11,'[9]Nonpersonnel PCQC'!H25*'[9]Cost of living'!C$12,
IF('[9]VariablesINPUT-FCC'!$C$6='[9]State List'!$A$12,'[9]Nonpersonnel PCQC'!H25*'[9]Cost of living'!C$13,
IF('[9]VariablesINPUT-FCC'!$C$6='[9]State List'!$A$13,'[9]Nonpersonnel PCQC'!H25*'[9]Cost of living'!C$14,
IF('[9]VariablesINPUT-FCC'!$C$6='[9]State List'!$A$14,'[9]Nonpersonnel PCQC'!H25*'[9]Cost of living'!C$15,
IF('[9]VariablesINPUT-FCC'!$C$6='[9]State List'!$A$15,'[9]Nonpersonnel PCQC'!H25*'[9]Cost of living'!C$16,
IF('[9]VariablesINPUT-FCC'!$C$6='[9]State List'!$A$16,'[9]Nonpersonnel PCQC'!H25*'[9]Cost of living'!C$17,
IF('[9]VariablesINPUT-FCC'!$C$6='[9]State List'!$A$17,'[9]Nonpersonnel PCQC'!H25*'[9]Cost of living'!C$18,
IF('[9]VariablesINPUT-FCC'!$C$6='[9]State List'!$A$18,'[9]Nonpersonnel PCQC'!H25*'[9]Cost of living'!C$19,
IF('[9]VariablesINPUT-FCC'!$C$6='[9]State List'!$A$19,'[9]Nonpersonnel PCQC'!H25*'[9]Cost of living'!C$20,
IF('[9]VariablesINPUT-FCC'!$C$6='[9]State List'!$A$20,'[9]Nonpersonnel PCQC'!H25*'[9]Cost of living'!C$21,
IF('[9]VariablesINPUT-FCC'!$C$6='[9]State List'!$A$21,'[9]Nonpersonnel PCQC'!H25*'[9]Cost of living'!C41,
IF('[9]VariablesINPUT-FCC'!$C$6='[9]State List'!$A$22,'[9]Nonpersonnel PCQC'!H25*'[9]Cost of living'!C$23,
IF('[9]VariablesINPUT-FCC'!$C$6='[9]State List'!$A$23,'[9]Nonpersonnel PCQC'!H25*'[9]Cost of living'!C$24,
IF('[9]VariablesINPUT-FCC'!$C$6='[9]State List'!$A$24,'[9]Nonpersonnel PCQC'!H25*'[9]Cost of living'!C$25,
IF('[9]VariablesINPUT-FCC'!$C$6='[9]State List'!$A$25,'[9]Nonpersonnel PCQC'!H25*'[9]Cost of living'!C$26,
IF('[9]VariablesINPUT-FCC'!$C$6='[9]State List'!$A$26,'[9]Nonpersonnel PCQC'!H25*'[9]Cost of living'!C$27,
IF('[9]VariablesINPUT-FCC'!$C$6='[9]State List'!$A$27,'[9]Nonpersonnel PCQC'!H25*'[9]Cost of living'!C$28,
IF('[9]VariablesINPUT-FCC'!$C$6='[9]State List'!$A$28,'[9]Nonpersonnel PCQC'!H25*'[9]Cost of living'!C$29,
IF('[9]VariablesINPUT-FCC'!$C$6='[9]State List'!$A$29,'[9]Nonpersonnel PCQC'!H25*'[9]Cost of living'!C$30,
IF('[9]VariablesINPUT-FCC'!$C$6='[9]State List'!$A$30,'[9]Nonpersonnel PCQC'!H25*'[9]Cost of living'!C$31,
IF('[9]VariablesINPUT-FCC'!$C$6='[9]State List'!$A$31,'[9]Nonpersonnel PCQC'!H25*'[9]Cost of living'!C$32,
IF('[9]VariablesINPUT-FCC'!$C$6='[9]State List'!$A$32,'[9]Nonpersonnel PCQC'!H25*'[9]Cost of living'!C$33,
IF('[9]VariablesINPUT-FCC'!$C$6='[9]State List'!$A$33,'[9]Nonpersonnel PCQC'!H25*'[9]Cost of living'!C$34,
IF('[9]VariablesINPUT-FCC'!$C$6='[9]State List'!$A$34,'[9]Nonpersonnel PCQC'!H25*'[9]Cost of living'!C$35,
IF('[9]VariablesINPUT-FCC'!$C$6='[9]State List'!$A$35,'[9]Nonpersonnel PCQC'!H25*'[9]Cost of living'!C$36,
IF('[9]VariablesINPUT-FCC'!$C$6='[9]State List'!$A$36,'[9]Nonpersonnel PCQC'!H25*'[9]Cost of living'!C$37,
IF('[9]VariablesINPUT-FCC'!$C$6='[9]State List'!$A$37,'[9]Nonpersonnel PCQC'!H25*'[9]Cost of living'!C$38,
IF('[9]VariablesINPUT-FCC'!$C$6='[9]State List'!$A$38,'[9]Nonpersonnel PCQC'!H25*'[9]Cost of living'!C$39,
IF('[9]VariablesINPUT-FCC'!$C$6='[9]State List'!$A$39,'[9]Nonpersonnel PCQC'!H25*'[9]Cost of living'!C$40,
IF('[9]VariablesINPUT-FCC'!$C$6='[9]State List'!$A$40,'[9]Nonpersonnel PCQC'!H25*'[9]Cost of living'!C$41,
IF('[9]VariablesINPUT-FCC'!$C$6='[9]State List'!$A$41,'[9]Nonpersonnel PCQC'!H25*'[9]Cost of living'!C$42,
IF('[9]VariablesINPUT-FCC'!$C$6='[9]State List'!$A$42,'[9]Nonpersonnel PCQC'!H25*'[9]Cost of living'!C$43,
IF('[9]VariablesINPUT-FCC'!$C$6='[9]State List'!$A$43,'[9]Nonpersonnel PCQC'!H25*'[9]Cost of living'!C$44,
IF('[9]VariablesINPUT-FCC'!$C$6='[9]State List'!$A$44,'[9]Nonpersonnel PCQC'!H25*'[9]Cost of living'!C$45,
IF('[9]VariablesINPUT-FCC'!$C$6='[9]State List'!$A$45,'[9]Nonpersonnel PCQC'!H25*'[9]Cost of living'!C$46,
IF('[9]VariablesINPUT-FCC'!$C$6='[9]State List'!$A$46,'[9]Nonpersonnel PCQC'!H25*'[9]Cost of living'!C$47,
IF('[9]VariablesINPUT-FCC'!$C$6='[9]State List'!$A$47,'[9]Nonpersonnel PCQC'!H25*'[9]Cost of living'!C$48,
IF('[9]VariablesINPUT-FCC'!$C$6='[9]State List'!$A$48,'[9]Nonpersonnel PCQC'!H25*'[9]Cost of living'!C$49,
IF('[9]VariablesINPUT-FCC'!$C$6='[9]State List'!$A$49,'[9]Nonpersonnel PCQC'!H25*'[9]Cost of living'!C$50,
IF('[9]VariablesINPUT-FCC'!$C$6='[9]State List'!$A$50,'[9]Nonpersonnel PCQC'!H25*'[9]Cost of living'!C$51,
IF('[9]VariablesINPUT-FCC'!$C$6='[9]State List'!$A$51,'[9]Nonpersonnel PCQC'!H25*'[9]Cost of living'!C$52,
IF('[9]VariablesINPUT-FCC'!$C$6='[9]State List'!$A$52,'[9]Nonpersonnel PCQC'!H25*'[9]Cost of living'!C$53))))))))))))))))))))))))))))))))))))))))))))))))))))</f>
        <v>#VALUE!</v>
      </c>
      <c r="J26" s="21" t="e">
        <f t="shared" si="3"/>
        <v>#VALUE!</v>
      </c>
      <c r="K26" s="212" t="s">
        <v>278</v>
      </c>
      <c r="L26" s="411"/>
    </row>
    <row r="27" spans="1:44" x14ac:dyDescent="0.15">
      <c r="A27" s="5"/>
      <c r="B27" s="5"/>
      <c r="C27" s="31"/>
      <c r="D27" s="4"/>
      <c r="G27" s="21" t="s">
        <v>316</v>
      </c>
      <c r="H27" s="21">
        <v>652.54999999999995</v>
      </c>
      <c r="I27" s="21" t="e">
        <f>IF('[9]VariablesINPUT-FCC'!$C$6='[9]State List'!$A$1,'[9]Nonpersonnel PCQC'!H26*'[9]Cost of living'!C$2,
IF('[9]VariablesINPUT-FCC'!$C$6='[9]State List'!$A$2,'[9]Nonpersonnel PCQC'!H26*'[9]Cost of living'!C$3,
IF('[9]VariablesINPUT-FCC'!$C$6='[9]State List'!$A$3,'[9]Nonpersonnel PCQC'!H26*'[9]Cost of living'!C$4,
IF('[9]VariablesINPUT-FCC'!$C$6='[9]State List'!$A$4,'[9]Nonpersonnel PCQC'!H26*'[9]Cost of living'!C$5,
IF('[9]VariablesINPUT-FCC'!$C$6='[9]State List'!$A$5,'[9]Nonpersonnel PCQC'!H26*'[9]Cost of living'!C$6,
IF('[9]VariablesINPUT-FCC'!$C$6='[9]State List'!$A$6,'[9]Nonpersonnel PCQC'!H26*'[9]Cost of living'!C$7,
IF('[9]VariablesINPUT-FCC'!$C$6='[9]State List'!$A$7,'[9]Nonpersonnel PCQC'!H26*'[9]Cost of living'!C$8,
IF('[9]VariablesINPUT-FCC'!$C$6='[9]State List'!$A$8,'[9]Nonpersonnel PCQC'!H26*'[9]Cost of living'!C$9,
IF('[9]VariablesINPUT-FCC'!$C$6='[9]State List'!$A$9,'[9]Nonpersonnel PCQC'!H26*'[9]Cost of living'!C$10,
IF('[9]VariablesINPUT-FCC'!$C$6='[9]State List'!$A$10,'[9]Nonpersonnel PCQC'!H26*'[9]Cost of living'!C$11,
IF('[9]VariablesINPUT-FCC'!$C$6='[9]State List'!$A$11,'[9]Nonpersonnel PCQC'!H26*'[9]Cost of living'!C$12,
IF('[9]VariablesINPUT-FCC'!$C$6='[9]State List'!$A$12,'[9]Nonpersonnel PCQC'!H26*'[9]Cost of living'!C$13,
IF('[9]VariablesINPUT-FCC'!$C$6='[9]State List'!$A$13,'[9]Nonpersonnel PCQC'!H26*'[9]Cost of living'!C$14,
IF('[9]VariablesINPUT-FCC'!$C$6='[9]State List'!$A$14,'[9]Nonpersonnel PCQC'!H26*'[9]Cost of living'!C$15,
IF('[9]VariablesINPUT-FCC'!$C$6='[9]State List'!$A$15,'[9]Nonpersonnel PCQC'!H26*'[9]Cost of living'!C$16,
IF('[9]VariablesINPUT-FCC'!$C$6='[9]State List'!$A$16,'[9]Nonpersonnel PCQC'!H26*'[9]Cost of living'!C$17,
IF('[9]VariablesINPUT-FCC'!$C$6='[9]State List'!$A$17,'[9]Nonpersonnel PCQC'!H26*'[9]Cost of living'!C$18,
IF('[9]VariablesINPUT-FCC'!$C$6='[9]State List'!$A$18,'[9]Nonpersonnel PCQC'!H26*'[9]Cost of living'!C$19,
IF('[9]VariablesINPUT-FCC'!$C$6='[9]State List'!$A$19,'[9]Nonpersonnel PCQC'!H26*'[9]Cost of living'!C$20,
IF('[9]VariablesINPUT-FCC'!$C$6='[9]State List'!$A$20,'[9]Nonpersonnel PCQC'!H26*'[9]Cost of living'!C$21,
IF('[9]VariablesINPUT-FCC'!$C$6='[9]State List'!$A$21,'[9]Nonpersonnel PCQC'!H26*'[9]Cost of living'!C42,
IF('[9]VariablesINPUT-FCC'!$C$6='[9]State List'!$A$22,'[9]Nonpersonnel PCQC'!H26*'[9]Cost of living'!C$23,
IF('[9]VariablesINPUT-FCC'!$C$6='[9]State List'!$A$23,'[9]Nonpersonnel PCQC'!H26*'[9]Cost of living'!C$24,
IF('[9]VariablesINPUT-FCC'!$C$6='[9]State List'!$A$24,'[9]Nonpersonnel PCQC'!H26*'[9]Cost of living'!C$25,
IF('[9]VariablesINPUT-FCC'!$C$6='[9]State List'!$A$25,'[9]Nonpersonnel PCQC'!H26*'[9]Cost of living'!C$26,
IF('[9]VariablesINPUT-FCC'!$C$6='[9]State List'!$A$26,'[9]Nonpersonnel PCQC'!H26*'[9]Cost of living'!C$27,
IF('[9]VariablesINPUT-FCC'!$C$6='[9]State List'!$A$27,'[9]Nonpersonnel PCQC'!H26*'[9]Cost of living'!C$28,
IF('[9]VariablesINPUT-FCC'!$C$6='[9]State List'!$A$28,'[9]Nonpersonnel PCQC'!H26*'[9]Cost of living'!C$29,
IF('[9]VariablesINPUT-FCC'!$C$6='[9]State List'!$A$29,'[9]Nonpersonnel PCQC'!H26*'[9]Cost of living'!C$30,
IF('[9]VariablesINPUT-FCC'!$C$6='[9]State List'!$A$30,'[9]Nonpersonnel PCQC'!H26*'[9]Cost of living'!C$31,
IF('[9]VariablesINPUT-FCC'!$C$6='[9]State List'!$A$31,'[9]Nonpersonnel PCQC'!H26*'[9]Cost of living'!C$32,
IF('[9]VariablesINPUT-FCC'!$C$6='[9]State List'!$A$32,'[9]Nonpersonnel PCQC'!H26*'[9]Cost of living'!C$33,
IF('[9]VariablesINPUT-FCC'!$C$6='[9]State List'!$A$33,'[9]Nonpersonnel PCQC'!H26*'[9]Cost of living'!C$34,
IF('[9]VariablesINPUT-FCC'!$C$6='[9]State List'!$A$34,'[9]Nonpersonnel PCQC'!H26*'[9]Cost of living'!C$35,
IF('[9]VariablesINPUT-FCC'!$C$6='[9]State List'!$A$35,'[9]Nonpersonnel PCQC'!H26*'[9]Cost of living'!C$36,
IF('[9]VariablesINPUT-FCC'!$C$6='[9]State List'!$A$36,'[9]Nonpersonnel PCQC'!H26*'[9]Cost of living'!C$37,
IF('[9]VariablesINPUT-FCC'!$C$6='[9]State List'!$A$37,'[9]Nonpersonnel PCQC'!H26*'[9]Cost of living'!C$38,
IF('[9]VariablesINPUT-FCC'!$C$6='[9]State List'!$A$38,'[9]Nonpersonnel PCQC'!H26*'[9]Cost of living'!C$39,
IF('[9]VariablesINPUT-FCC'!$C$6='[9]State List'!$A$39,'[9]Nonpersonnel PCQC'!H26*'[9]Cost of living'!C$40,
IF('[9]VariablesINPUT-FCC'!$C$6='[9]State List'!$A$40,'[9]Nonpersonnel PCQC'!H26*'[9]Cost of living'!C$41,
IF('[9]VariablesINPUT-FCC'!$C$6='[9]State List'!$A$41,'[9]Nonpersonnel PCQC'!H26*'[9]Cost of living'!C$42,
IF('[9]VariablesINPUT-FCC'!$C$6='[9]State List'!$A$42,'[9]Nonpersonnel PCQC'!H26*'[9]Cost of living'!C$43,
IF('[9]VariablesINPUT-FCC'!$C$6='[9]State List'!$A$43,'[9]Nonpersonnel PCQC'!H26*'[9]Cost of living'!C$44,
IF('[9]VariablesINPUT-FCC'!$C$6='[9]State List'!$A$44,'[9]Nonpersonnel PCQC'!H26*'[9]Cost of living'!C$45,
IF('[9]VariablesINPUT-FCC'!$C$6='[9]State List'!$A$45,'[9]Nonpersonnel PCQC'!H26*'[9]Cost of living'!C$46,
IF('[9]VariablesINPUT-FCC'!$C$6='[9]State List'!$A$46,'[9]Nonpersonnel PCQC'!H26*'[9]Cost of living'!C$47,
IF('[9]VariablesINPUT-FCC'!$C$6='[9]State List'!$A$47,'[9]Nonpersonnel PCQC'!H26*'[9]Cost of living'!C$48,
IF('[9]VariablesINPUT-FCC'!$C$6='[9]State List'!$A$48,'[9]Nonpersonnel PCQC'!H26*'[9]Cost of living'!C$49,
IF('[9]VariablesINPUT-FCC'!$C$6='[9]State List'!$A$49,'[9]Nonpersonnel PCQC'!H26*'[9]Cost of living'!C$50,
IF('[9]VariablesINPUT-FCC'!$C$6='[9]State List'!$A$50,'[9]Nonpersonnel PCQC'!H26*'[9]Cost of living'!C$51,
IF('[9]VariablesINPUT-FCC'!$C$6='[9]State List'!$A$51,'[9]Nonpersonnel PCQC'!H26*'[9]Cost of living'!C$52,
IF('[9]VariablesINPUT-FCC'!$C$6='[9]State List'!$A$52,'[9]Nonpersonnel PCQC'!H26*'[9]Cost of living'!C$53))))))))))))))))))))))))))))))))))))))))))))))))))))</f>
        <v>#VALUE!</v>
      </c>
      <c r="J27" s="21" t="e">
        <f t="shared" si="3"/>
        <v>#VALUE!</v>
      </c>
      <c r="K27" s="212" t="s">
        <v>278</v>
      </c>
      <c r="L27" s="411"/>
    </row>
    <row r="28" spans="1:44" x14ac:dyDescent="0.15">
      <c r="A28" s="5"/>
      <c r="B28" s="5"/>
      <c r="C28" s="31"/>
      <c r="D28" s="21"/>
      <c r="G28" s="4" t="s">
        <v>317</v>
      </c>
      <c r="H28" s="4">
        <v>3936.36</v>
      </c>
      <c r="I28" s="21" t="e">
        <f>IF('[9]VariablesINPUT-FCC'!$C$6='[9]State List'!$A$1,'[9]Nonpersonnel PCQC'!H27*'[9]Cost of living'!C$2,
IF('[9]VariablesINPUT-FCC'!$C$6='[9]State List'!$A$2,'[9]Nonpersonnel PCQC'!H27*'[9]Cost of living'!C$3,
IF('[9]VariablesINPUT-FCC'!$C$6='[9]State List'!$A$3,'[9]Nonpersonnel PCQC'!H27*'[9]Cost of living'!C$4,
IF('[9]VariablesINPUT-FCC'!$C$6='[9]State List'!$A$4,'[9]Nonpersonnel PCQC'!H27*'[9]Cost of living'!C$5,
IF('[9]VariablesINPUT-FCC'!$C$6='[9]State List'!$A$5,'[9]Nonpersonnel PCQC'!H27*'[9]Cost of living'!C$6,
IF('[9]VariablesINPUT-FCC'!$C$6='[9]State List'!$A$6,'[9]Nonpersonnel PCQC'!H27*'[9]Cost of living'!C$7,
IF('[9]VariablesINPUT-FCC'!$C$6='[9]State List'!$A$7,'[9]Nonpersonnel PCQC'!H27*'[9]Cost of living'!C$8,
IF('[9]VariablesINPUT-FCC'!$C$6='[9]State List'!$A$8,'[9]Nonpersonnel PCQC'!H27*'[9]Cost of living'!C$9,
IF('[9]VariablesINPUT-FCC'!$C$6='[9]State List'!$A$9,'[9]Nonpersonnel PCQC'!H27*'[9]Cost of living'!C$10,
IF('[9]VariablesINPUT-FCC'!$C$6='[9]State List'!$A$10,'[9]Nonpersonnel PCQC'!H27*'[9]Cost of living'!C$11,
IF('[9]VariablesINPUT-FCC'!$C$6='[9]State List'!$A$11,'[9]Nonpersonnel PCQC'!H27*'[9]Cost of living'!C$12,
IF('[9]VariablesINPUT-FCC'!$C$6='[9]State List'!$A$12,'[9]Nonpersonnel PCQC'!H27*'[9]Cost of living'!C$13,
IF('[9]VariablesINPUT-FCC'!$C$6='[9]State List'!$A$13,'[9]Nonpersonnel PCQC'!H27*'[9]Cost of living'!C$14,
IF('[9]VariablesINPUT-FCC'!$C$6='[9]State List'!$A$14,'[9]Nonpersonnel PCQC'!H27*'[9]Cost of living'!C$15,
IF('[9]VariablesINPUT-FCC'!$C$6='[9]State List'!$A$15,'[9]Nonpersonnel PCQC'!H27*'[9]Cost of living'!C$16,
IF('[9]VariablesINPUT-FCC'!$C$6='[9]State List'!$A$16,'[9]Nonpersonnel PCQC'!H27*'[9]Cost of living'!C$17,
IF('[9]VariablesINPUT-FCC'!$C$6='[9]State List'!$A$17,'[9]Nonpersonnel PCQC'!H27*'[9]Cost of living'!C$18,
IF('[9]VariablesINPUT-FCC'!$C$6='[9]State List'!$A$18,'[9]Nonpersonnel PCQC'!H27*'[9]Cost of living'!C$19,
IF('[9]VariablesINPUT-FCC'!$C$6='[9]State List'!$A$19,'[9]Nonpersonnel PCQC'!H27*'[9]Cost of living'!C$20,
IF('[9]VariablesINPUT-FCC'!$C$6='[9]State List'!$A$20,'[9]Nonpersonnel PCQC'!H27*'[9]Cost of living'!C$21,
IF('[9]VariablesINPUT-FCC'!$C$6='[9]State List'!$A$21,'[9]Nonpersonnel PCQC'!H27*'[9]Cost of living'!C43,
IF('[9]VariablesINPUT-FCC'!$C$6='[9]State List'!$A$22,'[9]Nonpersonnel PCQC'!H27*'[9]Cost of living'!C$23,
IF('[9]VariablesINPUT-FCC'!$C$6='[9]State List'!$A$23,'[9]Nonpersonnel PCQC'!H27*'[9]Cost of living'!C$24,
IF('[9]VariablesINPUT-FCC'!$C$6='[9]State List'!$A$24,'[9]Nonpersonnel PCQC'!H27*'[9]Cost of living'!C$25,
IF('[9]VariablesINPUT-FCC'!$C$6='[9]State List'!$A$25,'[9]Nonpersonnel PCQC'!H27*'[9]Cost of living'!C$26,
IF('[9]VariablesINPUT-FCC'!$C$6='[9]State List'!$A$26,'[9]Nonpersonnel PCQC'!H27*'[9]Cost of living'!C$27,
IF('[9]VariablesINPUT-FCC'!$C$6='[9]State List'!$A$27,'[9]Nonpersonnel PCQC'!H27*'[9]Cost of living'!C$28,
IF('[9]VariablesINPUT-FCC'!$C$6='[9]State List'!$A$28,'[9]Nonpersonnel PCQC'!H27*'[9]Cost of living'!C$29,
IF('[9]VariablesINPUT-FCC'!$C$6='[9]State List'!$A$29,'[9]Nonpersonnel PCQC'!H27*'[9]Cost of living'!C$30,
IF('[9]VariablesINPUT-FCC'!$C$6='[9]State List'!$A$30,'[9]Nonpersonnel PCQC'!H27*'[9]Cost of living'!C$31,
IF('[9]VariablesINPUT-FCC'!$C$6='[9]State List'!$A$31,'[9]Nonpersonnel PCQC'!H27*'[9]Cost of living'!C$32,
IF('[9]VariablesINPUT-FCC'!$C$6='[9]State List'!$A$32,'[9]Nonpersonnel PCQC'!H27*'[9]Cost of living'!C$33,
IF('[9]VariablesINPUT-FCC'!$C$6='[9]State List'!$A$33,'[9]Nonpersonnel PCQC'!H27*'[9]Cost of living'!C$34,
IF('[9]VariablesINPUT-FCC'!$C$6='[9]State List'!$A$34,'[9]Nonpersonnel PCQC'!H27*'[9]Cost of living'!C$35,
IF('[9]VariablesINPUT-FCC'!$C$6='[9]State List'!$A$35,'[9]Nonpersonnel PCQC'!H27*'[9]Cost of living'!C$36,
IF('[9]VariablesINPUT-FCC'!$C$6='[9]State List'!$A$36,'[9]Nonpersonnel PCQC'!H27*'[9]Cost of living'!C$37,
IF('[9]VariablesINPUT-FCC'!$C$6='[9]State List'!$A$37,'[9]Nonpersonnel PCQC'!H27*'[9]Cost of living'!C$38,
IF('[9]VariablesINPUT-FCC'!$C$6='[9]State List'!$A$38,'[9]Nonpersonnel PCQC'!H27*'[9]Cost of living'!C$39,
IF('[9]VariablesINPUT-FCC'!$C$6='[9]State List'!$A$39,'[9]Nonpersonnel PCQC'!H27*'[9]Cost of living'!C$40,
IF('[9]VariablesINPUT-FCC'!$C$6='[9]State List'!$A$40,'[9]Nonpersonnel PCQC'!H27*'[9]Cost of living'!C$41,
IF('[9]VariablesINPUT-FCC'!$C$6='[9]State List'!$A$41,'[9]Nonpersonnel PCQC'!H27*'[9]Cost of living'!C$42,
IF('[9]VariablesINPUT-FCC'!$C$6='[9]State List'!$A$42,'[9]Nonpersonnel PCQC'!H27*'[9]Cost of living'!C$43,
IF('[9]VariablesINPUT-FCC'!$C$6='[9]State List'!$A$43,'[9]Nonpersonnel PCQC'!H27*'[9]Cost of living'!C$44,
IF('[9]VariablesINPUT-FCC'!$C$6='[9]State List'!$A$44,'[9]Nonpersonnel PCQC'!H27*'[9]Cost of living'!C$45,
IF('[9]VariablesINPUT-FCC'!$C$6='[9]State List'!$A$45,'[9]Nonpersonnel PCQC'!H27*'[9]Cost of living'!C$46,
IF('[9]VariablesINPUT-FCC'!$C$6='[9]State List'!$A$46,'[9]Nonpersonnel PCQC'!H27*'[9]Cost of living'!C$47,
IF('[9]VariablesINPUT-FCC'!$C$6='[9]State List'!$A$47,'[9]Nonpersonnel PCQC'!H27*'[9]Cost of living'!C$48,
IF('[9]VariablesINPUT-FCC'!$C$6='[9]State List'!$A$48,'[9]Nonpersonnel PCQC'!H27*'[9]Cost of living'!C$49,
IF('[9]VariablesINPUT-FCC'!$C$6='[9]State List'!$A$49,'[9]Nonpersonnel PCQC'!H27*'[9]Cost of living'!C$50,
IF('[9]VariablesINPUT-FCC'!$C$6='[9]State List'!$A$50,'[9]Nonpersonnel PCQC'!H27*'[9]Cost of living'!C$51,
IF('[9]VariablesINPUT-FCC'!$C$6='[9]State List'!$A$51,'[9]Nonpersonnel PCQC'!H27*'[9]Cost of living'!C$52,
IF('[9]VariablesINPUT-FCC'!$C$6='[9]State List'!$A$52,'[9]Nonpersonnel PCQC'!H27*'[9]Cost of living'!C$53))))))))))))))))))))))))))))))))))))))))))))))))))))</f>
        <v>#VALUE!</v>
      </c>
      <c r="J28" s="21" t="e">
        <f t="shared" si="3"/>
        <v>#VALUE!</v>
      </c>
      <c r="K28" s="212" t="s">
        <v>278</v>
      </c>
      <c r="L28" s="411"/>
    </row>
    <row r="29" spans="1:44" s="29" customFormat="1" x14ac:dyDescent="0.15">
      <c r="A29" s="36" t="s">
        <v>318</v>
      </c>
      <c r="B29" s="397"/>
      <c r="C29" s="30"/>
      <c r="D29" s="63"/>
      <c r="E29" s="400"/>
      <c r="F29" s="399"/>
      <c r="G29" s="4" t="s">
        <v>319</v>
      </c>
      <c r="H29" s="4">
        <v>313.99</v>
      </c>
      <c r="I29" s="21" t="e">
        <f>IF('[9]VariablesINPUT-FCC'!$C$6='[9]State List'!$A$1,'[9]Nonpersonnel PCQC'!H28*'[9]Cost of living'!C$2,
IF('[9]VariablesINPUT-FCC'!$C$6='[9]State List'!$A$2,'[9]Nonpersonnel PCQC'!H28*'[9]Cost of living'!C$3,
IF('[9]VariablesINPUT-FCC'!$C$6='[9]State List'!$A$3,'[9]Nonpersonnel PCQC'!H28*'[9]Cost of living'!C$4,
IF('[9]VariablesINPUT-FCC'!$C$6='[9]State List'!$A$4,'[9]Nonpersonnel PCQC'!H28*'[9]Cost of living'!C$5,
IF('[9]VariablesINPUT-FCC'!$C$6='[9]State List'!$A$5,'[9]Nonpersonnel PCQC'!H28*'[9]Cost of living'!C$6,
IF('[9]VariablesINPUT-FCC'!$C$6='[9]State List'!$A$6,'[9]Nonpersonnel PCQC'!H28*'[9]Cost of living'!C$7,
IF('[9]VariablesINPUT-FCC'!$C$6='[9]State List'!$A$7,'[9]Nonpersonnel PCQC'!H28*'[9]Cost of living'!C$8,
IF('[9]VariablesINPUT-FCC'!$C$6='[9]State List'!$A$8,'[9]Nonpersonnel PCQC'!H28*'[9]Cost of living'!C$9,
IF('[9]VariablesINPUT-FCC'!$C$6='[9]State List'!$A$9,'[9]Nonpersonnel PCQC'!H28*'[9]Cost of living'!C$10,
IF('[9]VariablesINPUT-FCC'!$C$6='[9]State List'!$A$10,'[9]Nonpersonnel PCQC'!H28*'[9]Cost of living'!C$11,
IF('[9]VariablesINPUT-FCC'!$C$6='[9]State List'!$A$11,'[9]Nonpersonnel PCQC'!H28*'[9]Cost of living'!C$12,
IF('[9]VariablesINPUT-FCC'!$C$6='[9]State List'!$A$12,'[9]Nonpersonnel PCQC'!H28*'[9]Cost of living'!C$13,
IF('[9]VariablesINPUT-FCC'!$C$6='[9]State List'!$A$13,'[9]Nonpersonnel PCQC'!H28*'[9]Cost of living'!C$14,
IF('[9]VariablesINPUT-FCC'!$C$6='[9]State List'!$A$14,'[9]Nonpersonnel PCQC'!H28*'[9]Cost of living'!C$15,
IF('[9]VariablesINPUT-FCC'!$C$6='[9]State List'!$A$15,'[9]Nonpersonnel PCQC'!H28*'[9]Cost of living'!C$16,
IF('[9]VariablesINPUT-FCC'!$C$6='[9]State List'!$A$16,'[9]Nonpersonnel PCQC'!H28*'[9]Cost of living'!C$17,
IF('[9]VariablesINPUT-FCC'!$C$6='[9]State List'!$A$17,'[9]Nonpersonnel PCQC'!H28*'[9]Cost of living'!C$18,
IF('[9]VariablesINPUT-FCC'!$C$6='[9]State List'!$A$18,'[9]Nonpersonnel PCQC'!H28*'[9]Cost of living'!C$19,
IF('[9]VariablesINPUT-FCC'!$C$6='[9]State List'!$A$19,'[9]Nonpersonnel PCQC'!H28*'[9]Cost of living'!C$20,
IF('[9]VariablesINPUT-FCC'!$C$6='[9]State List'!$A$20,'[9]Nonpersonnel PCQC'!H28*'[9]Cost of living'!C$21,
IF('[9]VariablesINPUT-FCC'!$C$6='[9]State List'!$A$21,'[9]Nonpersonnel PCQC'!H28*'[9]Cost of living'!C44,
IF('[9]VariablesINPUT-FCC'!$C$6='[9]State List'!$A$22,'[9]Nonpersonnel PCQC'!H28*'[9]Cost of living'!C$23,
IF('[9]VariablesINPUT-FCC'!$C$6='[9]State List'!$A$23,'[9]Nonpersonnel PCQC'!H28*'[9]Cost of living'!C$24,
IF('[9]VariablesINPUT-FCC'!$C$6='[9]State List'!$A$24,'[9]Nonpersonnel PCQC'!H28*'[9]Cost of living'!C$25,
IF('[9]VariablesINPUT-FCC'!$C$6='[9]State List'!$A$25,'[9]Nonpersonnel PCQC'!H28*'[9]Cost of living'!C$26,
IF('[9]VariablesINPUT-FCC'!$C$6='[9]State List'!$A$26,'[9]Nonpersonnel PCQC'!H28*'[9]Cost of living'!C$27,
IF('[9]VariablesINPUT-FCC'!$C$6='[9]State List'!$A$27,'[9]Nonpersonnel PCQC'!H28*'[9]Cost of living'!C$28,
IF('[9]VariablesINPUT-FCC'!$C$6='[9]State List'!$A$28,'[9]Nonpersonnel PCQC'!H28*'[9]Cost of living'!C$29,
IF('[9]VariablesINPUT-FCC'!$C$6='[9]State List'!$A$29,'[9]Nonpersonnel PCQC'!H28*'[9]Cost of living'!C$30,
IF('[9]VariablesINPUT-FCC'!$C$6='[9]State List'!$A$30,'[9]Nonpersonnel PCQC'!H28*'[9]Cost of living'!C$31,
IF('[9]VariablesINPUT-FCC'!$C$6='[9]State List'!$A$31,'[9]Nonpersonnel PCQC'!H28*'[9]Cost of living'!C$32,
IF('[9]VariablesINPUT-FCC'!$C$6='[9]State List'!$A$32,'[9]Nonpersonnel PCQC'!H28*'[9]Cost of living'!C$33,
IF('[9]VariablesINPUT-FCC'!$C$6='[9]State List'!$A$33,'[9]Nonpersonnel PCQC'!H28*'[9]Cost of living'!C$34,
IF('[9]VariablesINPUT-FCC'!$C$6='[9]State List'!$A$34,'[9]Nonpersonnel PCQC'!H28*'[9]Cost of living'!C$35,
IF('[9]VariablesINPUT-FCC'!$C$6='[9]State List'!$A$35,'[9]Nonpersonnel PCQC'!H28*'[9]Cost of living'!C$36,
IF('[9]VariablesINPUT-FCC'!$C$6='[9]State List'!$A$36,'[9]Nonpersonnel PCQC'!H28*'[9]Cost of living'!C$37,
IF('[9]VariablesINPUT-FCC'!$C$6='[9]State List'!$A$37,'[9]Nonpersonnel PCQC'!H28*'[9]Cost of living'!C$38,
IF('[9]VariablesINPUT-FCC'!$C$6='[9]State List'!$A$38,'[9]Nonpersonnel PCQC'!H28*'[9]Cost of living'!C$39,
IF('[9]VariablesINPUT-FCC'!$C$6='[9]State List'!$A$39,'[9]Nonpersonnel PCQC'!H28*'[9]Cost of living'!C$40,
IF('[9]VariablesINPUT-FCC'!$C$6='[9]State List'!$A$40,'[9]Nonpersonnel PCQC'!H28*'[9]Cost of living'!C$41,
IF('[9]VariablesINPUT-FCC'!$C$6='[9]State List'!$A$41,'[9]Nonpersonnel PCQC'!H28*'[9]Cost of living'!C$42,
IF('[9]VariablesINPUT-FCC'!$C$6='[9]State List'!$A$42,'[9]Nonpersonnel PCQC'!H28*'[9]Cost of living'!C$43,
IF('[9]VariablesINPUT-FCC'!$C$6='[9]State List'!$A$43,'[9]Nonpersonnel PCQC'!H28*'[9]Cost of living'!C$44,
IF('[9]VariablesINPUT-FCC'!$C$6='[9]State List'!$A$44,'[9]Nonpersonnel PCQC'!H28*'[9]Cost of living'!C$45,
IF('[9]VariablesINPUT-FCC'!$C$6='[9]State List'!$A$45,'[9]Nonpersonnel PCQC'!H28*'[9]Cost of living'!C$46,
IF('[9]VariablesINPUT-FCC'!$C$6='[9]State List'!$A$46,'[9]Nonpersonnel PCQC'!H28*'[9]Cost of living'!C$47,
IF('[9]VariablesINPUT-FCC'!$C$6='[9]State List'!$A$47,'[9]Nonpersonnel PCQC'!H28*'[9]Cost of living'!C$48,
IF('[9]VariablesINPUT-FCC'!$C$6='[9]State List'!$A$48,'[9]Nonpersonnel PCQC'!H28*'[9]Cost of living'!C$49,
IF('[9]VariablesINPUT-FCC'!$C$6='[9]State List'!$A$49,'[9]Nonpersonnel PCQC'!H28*'[9]Cost of living'!C$50,
IF('[9]VariablesINPUT-FCC'!$C$6='[9]State List'!$A$50,'[9]Nonpersonnel PCQC'!H28*'[9]Cost of living'!C$51,
IF('[9]VariablesINPUT-FCC'!$C$6='[9]State List'!$A$51,'[9]Nonpersonnel PCQC'!H28*'[9]Cost of living'!C$52,
IF('[9]VariablesINPUT-FCC'!$C$6='[9]State List'!$A$52,'[9]Nonpersonnel PCQC'!H28*'[9]Cost of living'!C$53))))))))))))))))))))))))))))))))))))))))))))))))))))</f>
        <v>#VALUE!</v>
      </c>
      <c r="J29" s="21" t="e">
        <f t="shared" si="3"/>
        <v>#VALUE!</v>
      </c>
      <c r="K29" s="212" t="s">
        <v>278</v>
      </c>
      <c r="L29" s="41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</row>
    <row r="30" spans="1:44" x14ac:dyDescent="0.15">
      <c r="A30" s="5" t="s">
        <v>320</v>
      </c>
      <c r="B30" s="5">
        <v>1282</v>
      </c>
      <c r="C30" s="27">
        <f>B30</f>
        <v>1282</v>
      </c>
      <c r="D30" s="21">
        <f>C30*$E$2</f>
        <v>1255.8087400000002</v>
      </c>
      <c r="E30" s="212" t="s">
        <v>282</v>
      </c>
      <c r="G30" s="416" t="s">
        <v>76</v>
      </c>
      <c r="H30" s="63">
        <f>SUM(H25:H29)</f>
        <v>25284.65</v>
      </c>
      <c r="I30" s="63" t="e">
        <f>SUM(I25:I29)</f>
        <v>#VALUE!</v>
      </c>
      <c r="J30" s="63" t="e">
        <f>SUM(J25:J29)</f>
        <v>#VALUE!</v>
      </c>
      <c r="L30" s="21"/>
    </row>
    <row r="31" spans="1:44" x14ac:dyDescent="0.15">
      <c r="A31" s="5" t="s">
        <v>321</v>
      </c>
      <c r="B31" s="5">
        <f>200*_NumberTeachingStaff</f>
        <v>2320</v>
      </c>
      <c r="C31" s="31">
        <f>B31</f>
        <v>2320</v>
      </c>
      <c r="D31" s="21">
        <f>C31</f>
        <v>2320</v>
      </c>
      <c r="E31" s="212"/>
    </row>
    <row r="32" spans="1:44" x14ac:dyDescent="0.15">
      <c r="A32" s="5"/>
      <c r="B32" s="5"/>
      <c r="C32" s="28"/>
      <c r="D32" s="21"/>
      <c r="G32" s="417" t="s">
        <v>322</v>
      </c>
      <c r="H32" s="418">
        <v>65</v>
      </c>
      <c r="I32">
        <v>65</v>
      </c>
      <c r="J32">
        <f>I32</f>
        <v>65</v>
      </c>
    </row>
    <row r="33" spans="1:12" x14ac:dyDescent="0.15">
      <c r="A33" s="2"/>
      <c r="B33" s="2"/>
      <c r="C33" s="28"/>
      <c r="D33" s="21"/>
      <c r="G33" s="419" t="s">
        <v>323</v>
      </c>
      <c r="H33" s="420">
        <v>1200</v>
      </c>
      <c r="I33">
        <v>1200</v>
      </c>
      <c r="J33">
        <f>I33</f>
        <v>1200</v>
      </c>
    </row>
    <row r="34" spans="1:12" x14ac:dyDescent="0.15">
      <c r="A34" s="3" t="s">
        <v>324</v>
      </c>
      <c r="B34" s="3"/>
      <c r="C34" s="32">
        <f>SUM(C7:C32)</f>
        <v>480164</v>
      </c>
      <c r="D34" s="32">
        <f>SUM(D7:D32)</f>
        <v>471350.33456000005</v>
      </c>
      <c r="G34" s="419" t="s">
        <v>325</v>
      </c>
      <c r="H34" s="421">
        <v>2400</v>
      </c>
      <c r="I34">
        <v>2400</v>
      </c>
      <c r="J34">
        <f>I34</f>
        <v>2400</v>
      </c>
    </row>
    <row r="35" spans="1:12" x14ac:dyDescent="0.15">
      <c r="A35" s="19" t="s">
        <v>326</v>
      </c>
      <c r="B35" s="19"/>
      <c r="C35" s="33">
        <f>C34/C4</f>
        <v>96032.8</v>
      </c>
      <c r="D35" s="33">
        <f>D34/C4</f>
        <v>94270.066912000009</v>
      </c>
      <c r="G35" s="422" t="s">
        <v>327</v>
      </c>
      <c r="H35" s="423">
        <f>SUM(H32/(24*7)*(H33/H34))</f>
        <v>0.19345238095238096</v>
      </c>
      <c r="I35" s="424">
        <f>SUM(I32/(24*7)*(I33/I34))</f>
        <v>0.19345238095238096</v>
      </c>
      <c r="J35" s="425">
        <f>I35</f>
        <v>0.19345238095238096</v>
      </c>
    </row>
    <row r="36" spans="1:12" x14ac:dyDescent="0.15">
      <c r="A36" s="19" t="s">
        <v>328</v>
      </c>
      <c r="B36" s="19"/>
      <c r="C36" s="33">
        <f>C34/C3</f>
        <v>5108.1276595744685</v>
      </c>
      <c r="D36" s="33">
        <f>D34/C3</f>
        <v>5014.3652612765964</v>
      </c>
      <c r="G36" s="426"/>
      <c r="H36" s="426"/>
    </row>
    <row r="37" spans="1:12" ht="14" thickBot="1" x14ac:dyDescent="0.2">
      <c r="D37" s="19"/>
      <c r="G37" s="21"/>
      <c r="H37" s="21"/>
    </row>
    <row r="38" spans="1:12" x14ac:dyDescent="0.15">
      <c r="A38" s="427" t="s">
        <v>329</v>
      </c>
      <c r="B38" s="428"/>
      <c r="C38" s="429">
        <f>SUM(C7:C11)/C3</f>
        <v>347.80851063829789</v>
      </c>
      <c r="D38" s="430">
        <f>SUM(D7:D11)/C3</f>
        <v>343.13395276595747</v>
      </c>
      <c r="E38" s="431">
        <f>D38*C3</f>
        <v>32254.591560000001</v>
      </c>
      <c r="G38" s="21" t="s">
        <v>330</v>
      </c>
      <c r="H38" s="21">
        <f>SUM(H6:H22)</f>
        <v>17679.959999999995</v>
      </c>
      <c r="I38" s="21" t="e">
        <f>SUM(I6:I22)</f>
        <v>#VALUE!</v>
      </c>
      <c r="J38" s="21" t="e">
        <f>SUM(J6:J22)</f>
        <v>#VALUE!</v>
      </c>
    </row>
    <row r="39" spans="1:12" x14ac:dyDescent="0.15">
      <c r="A39" s="432" t="s">
        <v>331</v>
      </c>
      <c r="B39" s="433"/>
      <c r="C39" s="434">
        <f>SUM(C16:C18)/C4</f>
        <v>39104</v>
      </c>
      <c r="D39" s="435">
        <f>SUM(D16:D18)/C4</f>
        <v>38305.105280000003</v>
      </c>
      <c r="E39" s="431">
        <f>D39*C4</f>
        <v>191525.52640000003</v>
      </c>
      <c r="G39" s="21" t="s">
        <v>332</v>
      </c>
      <c r="H39" s="21">
        <f>H30*H35</f>
        <v>4891.3757440476193</v>
      </c>
      <c r="I39" s="21" t="e">
        <f>I30*I35</f>
        <v>#VALUE!</v>
      </c>
      <c r="J39" s="21" t="e">
        <f>J30*J35</f>
        <v>#VALUE!</v>
      </c>
    </row>
    <row r="40" spans="1:12" x14ac:dyDescent="0.15">
      <c r="A40" s="432" t="s">
        <v>333</v>
      </c>
      <c r="B40" s="433"/>
      <c r="C40" s="436">
        <f>SUM(C21:C26,C30:C31)/C3</f>
        <v>2680.3191489361702</v>
      </c>
      <c r="D40" s="437">
        <f>SUM(D21:D26,D30:D31)/C3</f>
        <v>2633.7257085106385</v>
      </c>
      <c r="E40" s="431">
        <f>D40*C3</f>
        <v>247570.21660000001</v>
      </c>
      <c r="G40" s="9"/>
      <c r="H40" s="9"/>
      <c r="I40" s="9"/>
      <c r="J40" s="21"/>
    </row>
    <row r="41" spans="1:12" ht="14" thickBot="1" x14ac:dyDescent="0.2">
      <c r="A41" s="438"/>
      <c r="B41" s="439"/>
      <c r="C41" s="440" t="s">
        <v>334</v>
      </c>
      <c r="D41" s="441"/>
      <c r="G41" s="8" t="s">
        <v>101</v>
      </c>
      <c r="H41" s="6">
        <f>SUM(H38:H39)</f>
        <v>22571.335744047614</v>
      </c>
      <c r="I41" s="6" t="e">
        <f>SUM(I38:I39)</f>
        <v>#VALUE!</v>
      </c>
      <c r="J41" s="6" t="e">
        <f>SUM(J38:J39)</f>
        <v>#VALUE!</v>
      </c>
      <c r="K41" s="409"/>
    </row>
    <row r="42" spans="1:12" x14ac:dyDescent="0.15">
      <c r="A42" s="19"/>
      <c r="B42" s="19"/>
      <c r="G42" s="6"/>
      <c r="H42" s="6"/>
      <c r="I42" s="6"/>
      <c r="J42" s="6"/>
    </row>
    <row r="43" spans="1:12" ht="14" thickBot="1" x14ac:dyDescent="0.2">
      <c r="A43" s="19"/>
      <c r="B43" s="19"/>
      <c r="C43" s="12"/>
      <c r="G43" s="19"/>
      <c r="H43" s="19" t="s">
        <v>335</v>
      </c>
      <c r="I43" s="19" t="s">
        <v>335</v>
      </c>
      <c r="J43" s="19" t="s">
        <v>335</v>
      </c>
      <c r="L43" s="19"/>
    </row>
    <row r="44" spans="1:12" x14ac:dyDescent="0.15">
      <c r="A44" s="19"/>
      <c r="B44" s="19"/>
      <c r="C44" s="33"/>
      <c r="D44" s="19">
        <f>213655/5</f>
        <v>42731</v>
      </c>
      <c r="G44" s="427" t="s">
        <v>336</v>
      </c>
      <c r="H44" s="429">
        <f>SUM(H6,H7,H8,H9,H10,H11,H12,H13,H16,H18,H19)</f>
        <v>5032.8500000000004</v>
      </c>
      <c r="I44" s="429" t="e">
        <f>SUM(I6,I7,I8,I9,I10,I11,I12,I13,I16,I18,I19)</f>
        <v>#VALUE!</v>
      </c>
      <c r="J44" s="429" t="e">
        <f>SUM(J6,J7,J8,J9,J10,J11,J12,J13,J16,J18,J19)</f>
        <v>#VALUE!</v>
      </c>
    </row>
    <row r="45" spans="1:12" x14ac:dyDescent="0.15">
      <c r="A45" s="19"/>
      <c r="B45" s="19"/>
      <c r="C45" s="33"/>
      <c r="D45" s="19"/>
      <c r="G45" s="432" t="s">
        <v>98</v>
      </c>
      <c r="H45" s="434">
        <f>H39</f>
        <v>4891.3757440476193</v>
      </c>
      <c r="I45" s="434" t="e">
        <f>I39</f>
        <v>#VALUE!</v>
      </c>
      <c r="J45" s="434" t="e">
        <f>J39</f>
        <v>#VALUE!</v>
      </c>
    </row>
    <row r="46" spans="1:12" x14ac:dyDescent="0.15">
      <c r="A46" s="19"/>
      <c r="B46" s="19"/>
      <c r="C46" s="33"/>
      <c r="D46">
        <f>470476/1208721</f>
        <v>0.38923457108795162</v>
      </c>
      <c r="G46" s="432" t="s">
        <v>337</v>
      </c>
      <c r="H46" s="436">
        <f>SUM(H15,H14,H17,H20,H22)</f>
        <v>12647.109999999999</v>
      </c>
      <c r="I46" s="436" t="e">
        <f>SUM(I15,I14,I17,I20,I22)</f>
        <v>#VALUE!</v>
      </c>
      <c r="J46" s="436" t="e">
        <f>SUM(J15,J14,J17,J20,J22)</f>
        <v>#VALUE!</v>
      </c>
      <c r="K46" s="431" t="e">
        <f>J46*12</f>
        <v>#VALUE!</v>
      </c>
    </row>
    <row r="47" spans="1:12" ht="14" thickBot="1" x14ac:dyDescent="0.2">
      <c r="G47" s="438"/>
      <c r="H47" s="440" t="s">
        <v>338</v>
      </c>
      <c r="I47" s="439"/>
      <c r="J47" s="441"/>
    </row>
    <row r="49" spans="1:9" x14ac:dyDescent="0.15">
      <c r="A49" s="398">
        <v>111.1</v>
      </c>
      <c r="B49" s="17">
        <f>B7/A49</f>
        <v>1.0711071107110712</v>
      </c>
    </row>
    <row r="50" spans="1:9" x14ac:dyDescent="0.15">
      <c r="A50" s="398">
        <v>4999.5</v>
      </c>
      <c r="B50" s="17">
        <f t="shared" ref="B50:B73" si="4">B8/A50</f>
        <v>1.0113011301130113</v>
      </c>
    </row>
    <row r="51" spans="1:9" x14ac:dyDescent="0.15">
      <c r="A51" s="398">
        <v>122.2</v>
      </c>
      <c r="B51" s="17">
        <f t="shared" si="4"/>
        <v>1.0638297872340425</v>
      </c>
    </row>
    <row r="52" spans="1:9" x14ac:dyDescent="0.15">
      <c r="A52" s="398">
        <v>3333</v>
      </c>
      <c r="B52" s="17">
        <f t="shared" si="4"/>
        <v>1.0690069006900691</v>
      </c>
    </row>
    <row r="53" spans="1:9" x14ac:dyDescent="0.15">
      <c r="A53" s="398">
        <v>555.5</v>
      </c>
      <c r="B53" s="17">
        <f t="shared" si="4"/>
        <v>1.2043204320432044</v>
      </c>
    </row>
    <row r="54" spans="1:9" x14ac:dyDescent="0.15">
      <c r="A54" s="398"/>
      <c r="B54" s="17"/>
    </row>
    <row r="55" spans="1:9" x14ac:dyDescent="0.15">
      <c r="A55" s="398"/>
      <c r="B55" s="17"/>
      <c r="H55" s="206">
        <v>166.7</v>
      </c>
      <c r="I55" s="17">
        <f>H6/H55</f>
        <v>1.0699460107978407</v>
      </c>
    </row>
    <row r="56" spans="1:9" x14ac:dyDescent="0.15">
      <c r="A56" s="398"/>
      <c r="B56" s="17"/>
      <c r="H56" s="410">
        <v>305.5</v>
      </c>
      <c r="I56" s="17">
        <f t="shared" ref="I56:I78" si="5">H7/H56</f>
        <v>1.0697545008183307</v>
      </c>
    </row>
    <row r="57" spans="1:9" x14ac:dyDescent="0.15">
      <c r="A57" s="397"/>
      <c r="B57" s="17"/>
      <c r="H57" s="410">
        <v>366.6</v>
      </c>
      <c r="I57" s="17">
        <f t="shared" si="5"/>
        <v>1.0691762138570648</v>
      </c>
    </row>
    <row r="58" spans="1:9" x14ac:dyDescent="0.15">
      <c r="A58" s="38">
        <v>16.600000000000001</v>
      </c>
      <c r="B58" s="17">
        <f t="shared" si="4"/>
        <v>1.3253012048192769</v>
      </c>
      <c r="H58" s="410">
        <v>549.9</v>
      </c>
      <c r="I58" s="17">
        <f t="shared" si="5"/>
        <v>1.0681942171303873</v>
      </c>
    </row>
    <row r="59" spans="1:9" x14ac:dyDescent="0.15">
      <c r="A59" s="5">
        <v>5.7</v>
      </c>
      <c r="B59" s="17">
        <f t="shared" si="4"/>
        <v>1.0526315789473684</v>
      </c>
      <c r="H59" s="410">
        <v>144.4</v>
      </c>
      <c r="I59" s="17">
        <f t="shared" si="5"/>
        <v>1.0650277008310249</v>
      </c>
    </row>
    <row r="60" spans="1:9" x14ac:dyDescent="0.15">
      <c r="A60" s="5">
        <v>4.0999999999999996</v>
      </c>
      <c r="B60" s="17">
        <f t="shared" si="4"/>
        <v>0.97560975609756106</v>
      </c>
      <c r="H60" s="410">
        <v>733.3</v>
      </c>
      <c r="I60" s="17">
        <f t="shared" si="5"/>
        <v>1.0675576162552844</v>
      </c>
    </row>
    <row r="61" spans="1:9" x14ac:dyDescent="0.15">
      <c r="A61" s="5"/>
      <c r="B61" s="17"/>
      <c r="H61" s="410">
        <v>222.2</v>
      </c>
      <c r="I61" s="17">
        <f t="shared" si="5"/>
        <v>1.0670567056705671</v>
      </c>
    </row>
    <row r="62" spans="1:9" x14ac:dyDescent="0.15">
      <c r="A62" s="397"/>
      <c r="B62" s="17"/>
      <c r="H62" s="410">
        <v>294.39999999999998</v>
      </c>
      <c r="I62" s="17">
        <f t="shared" si="5"/>
        <v>1.0665421195652176</v>
      </c>
    </row>
    <row r="63" spans="1:9" x14ac:dyDescent="0.15">
      <c r="A63" s="5">
        <v>1499.8999999999999</v>
      </c>
      <c r="B63" s="17">
        <f t="shared" si="4"/>
        <v>1.4954330288685913</v>
      </c>
      <c r="H63" s="410">
        <v>555.5</v>
      </c>
      <c r="I63" s="17">
        <f t="shared" si="5"/>
        <v>1.0689648964896488</v>
      </c>
    </row>
    <row r="64" spans="1:9" x14ac:dyDescent="0.15">
      <c r="A64" s="5">
        <v>138.9</v>
      </c>
      <c r="B64" s="17">
        <f t="shared" si="4"/>
        <v>1.0655147588192944</v>
      </c>
      <c r="H64" s="410">
        <v>7221.5</v>
      </c>
      <c r="I64" s="17">
        <f t="shared" si="5"/>
        <v>1.4322232223222322</v>
      </c>
    </row>
    <row r="65" spans="1:9" x14ac:dyDescent="0.15">
      <c r="A65" s="5">
        <v>55.6</v>
      </c>
      <c r="B65" s="17">
        <f t="shared" si="4"/>
        <v>1.2050359712230216</v>
      </c>
      <c r="H65" s="410">
        <v>1111</v>
      </c>
      <c r="I65" s="17">
        <f t="shared" si="5"/>
        <v>1.6201620162016201</v>
      </c>
    </row>
    <row r="66" spans="1:9" x14ac:dyDescent="0.15">
      <c r="A66" s="5">
        <v>111.1</v>
      </c>
      <c r="B66" s="17">
        <f t="shared" si="4"/>
        <v>1.0711071107110712</v>
      </c>
      <c r="H66" s="410">
        <v>277.8</v>
      </c>
      <c r="I66" s="17">
        <f t="shared" si="5"/>
        <v>1.0687544996400287</v>
      </c>
    </row>
    <row r="67" spans="1:9" x14ac:dyDescent="0.15">
      <c r="A67" s="5">
        <v>22.2</v>
      </c>
      <c r="B67" s="17">
        <f t="shared" si="4"/>
        <v>1.0810810810810811</v>
      </c>
      <c r="H67" s="410">
        <v>122.2</v>
      </c>
      <c r="I67" s="17">
        <f t="shared" si="5"/>
        <v>1.0662847790507366</v>
      </c>
    </row>
    <row r="68" spans="1:9" x14ac:dyDescent="0.15">
      <c r="A68" s="5">
        <v>25</v>
      </c>
      <c r="B68" s="17">
        <f t="shared" si="4"/>
        <v>1.64</v>
      </c>
      <c r="H68" s="410">
        <v>122.2</v>
      </c>
      <c r="I68" s="17">
        <f t="shared" si="5"/>
        <v>1.0662847790507366</v>
      </c>
    </row>
    <row r="69" spans="1:9" x14ac:dyDescent="0.15">
      <c r="A69" s="5"/>
      <c r="B69" s="17"/>
      <c r="H69" s="4">
        <v>150</v>
      </c>
      <c r="I69" s="17">
        <f t="shared" si="5"/>
        <v>1.4239999999999999</v>
      </c>
    </row>
    <row r="70" spans="1:9" x14ac:dyDescent="0.15">
      <c r="A70" s="5"/>
      <c r="B70" s="17"/>
      <c r="H70" s="4"/>
      <c r="I70" s="17" t="e">
        <f t="shared" si="5"/>
        <v>#DIV/0!</v>
      </c>
    </row>
    <row r="71" spans="1:9" x14ac:dyDescent="0.15">
      <c r="A71" s="397"/>
      <c r="B71" s="17"/>
      <c r="H71" s="4">
        <v>1200</v>
      </c>
      <c r="I71" s="17">
        <f t="shared" si="5"/>
        <v>1</v>
      </c>
    </row>
    <row r="72" spans="1:9" x14ac:dyDescent="0.15">
      <c r="A72" s="5">
        <v>1200</v>
      </c>
      <c r="B72" s="17">
        <f t="shared" si="4"/>
        <v>1.0683333333333334</v>
      </c>
      <c r="H72" s="63">
        <v>13543.2</v>
      </c>
      <c r="I72" s="17">
        <f t="shared" si="5"/>
        <v>1.3054492291334392</v>
      </c>
    </row>
    <row r="73" spans="1:9" x14ac:dyDescent="0.15">
      <c r="A73" s="5">
        <v>2320</v>
      </c>
      <c r="B73" s="17">
        <f t="shared" si="4"/>
        <v>1</v>
      </c>
      <c r="H73" s="4"/>
      <c r="I73" s="17" t="e">
        <f t="shared" si="5"/>
        <v>#DIV/0!</v>
      </c>
    </row>
    <row r="74" spans="1:9" x14ac:dyDescent="0.15">
      <c r="A74" s="5"/>
      <c r="B74" s="17"/>
      <c r="H74" s="21">
        <v>14643</v>
      </c>
      <c r="I74" s="17">
        <f t="shared" si="5"/>
        <v>1.2676193402991189</v>
      </c>
    </row>
    <row r="75" spans="1:9" x14ac:dyDescent="0.15">
      <c r="A75" s="5"/>
      <c r="H75" s="21">
        <v>822</v>
      </c>
      <c r="I75" s="17">
        <f t="shared" si="5"/>
        <v>2.2141119221411194</v>
      </c>
    </row>
    <row r="76" spans="1:9" x14ac:dyDescent="0.15">
      <c r="A76" s="2"/>
      <c r="H76" s="21">
        <v>611.1</v>
      </c>
      <c r="I76" s="17">
        <f t="shared" si="5"/>
        <v>1.0678285059728359</v>
      </c>
    </row>
    <row r="77" spans="1:9" x14ac:dyDescent="0.15">
      <c r="A77" s="462" t="s">
        <v>339</v>
      </c>
      <c r="B77" s="458"/>
      <c r="C77" s="463"/>
      <c r="D77" s="458"/>
      <c r="H77" s="4">
        <v>2199.8000000000002</v>
      </c>
      <c r="I77" s="17">
        <f t="shared" si="5"/>
        <v>1.7894172197472498</v>
      </c>
    </row>
    <row r="78" spans="1:9" x14ac:dyDescent="0.15">
      <c r="A78" s="458" t="s">
        <v>340</v>
      </c>
      <c r="B78" s="464">
        <v>14</v>
      </c>
      <c r="C78" s="464">
        <v>14</v>
      </c>
      <c r="D78" s="458" t="s">
        <v>341</v>
      </c>
      <c r="E78" s="212" t="s">
        <v>342</v>
      </c>
      <c r="H78" s="4">
        <v>294.39999999999998</v>
      </c>
      <c r="I78" s="17">
        <f t="shared" si="5"/>
        <v>1.0665421195652176</v>
      </c>
    </row>
    <row r="79" spans="1:9" x14ac:dyDescent="0.15">
      <c r="A79" s="458" t="s">
        <v>343</v>
      </c>
      <c r="B79" s="464">
        <v>37</v>
      </c>
      <c r="C79" s="464">
        <v>37</v>
      </c>
      <c r="D79" s="458" t="s">
        <v>344</v>
      </c>
      <c r="E79" s="212" t="s">
        <v>345</v>
      </c>
    </row>
    <row r="80" spans="1:9" x14ac:dyDescent="0.15">
      <c r="A80" s="458" t="s">
        <v>346</v>
      </c>
      <c r="B80" s="464">
        <v>625</v>
      </c>
      <c r="C80" s="464">
        <v>625</v>
      </c>
      <c r="D80" s="458" t="s">
        <v>344</v>
      </c>
      <c r="E80" s="212" t="s">
        <v>345</v>
      </c>
    </row>
    <row r="81" spans="1:5" x14ac:dyDescent="0.15">
      <c r="A81" t="s">
        <v>347</v>
      </c>
      <c r="B81" s="461">
        <v>75</v>
      </c>
      <c r="E81" s="212" t="s">
        <v>348</v>
      </c>
    </row>
    <row r="82" spans="1:5" x14ac:dyDescent="0.15">
      <c r="A82" s="460" t="s">
        <v>349</v>
      </c>
      <c r="B82" s="465">
        <v>20</v>
      </c>
      <c r="C82" s="465"/>
      <c r="D82" s="460" t="s">
        <v>350</v>
      </c>
    </row>
  </sheetData>
  <pageMargins left="0.75" right="0.75" top="1" bottom="1" header="0.5" footer="0.5"/>
  <pageSetup orientation="portrait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2D6FA-7B6D-DD4B-BCD8-509968B7B550}">
  <sheetPr codeName="Sheet7">
    <tabColor theme="5"/>
  </sheetPr>
  <dimension ref="A1:H11"/>
  <sheetViews>
    <sheetView zoomScale="120" zoomScaleNormal="120" workbookViewId="0">
      <selection activeCell="A20" sqref="A20"/>
    </sheetView>
    <sheetView workbookViewId="1"/>
  </sheetViews>
  <sheetFormatPr baseColWidth="10" defaultColWidth="10.83203125" defaultRowHeight="13" x14ac:dyDescent="0.15"/>
  <cols>
    <col min="1" max="3" width="12.5" style="249" customWidth="1"/>
    <col min="4" max="5" width="10.83203125" style="249"/>
    <col min="6" max="6" width="11.1640625" style="249" bestFit="1" customWidth="1"/>
    <col min="7" max="16384" width="10.83203125" style="249"/>
  </cols>
  <sheetData>
    <row r="1" spans="1:8" x14ac:dyDescent="0.15">
      <c r="A1" s="244" t="s">
        <v>398</v>
      </c>
      <c r="B1" s="245"/>
      <c r="C1" s="246"/>
      <c r="D1" s="247"/>
      <c r="E1" s="248"/>
      <c r="H1" s="249" t="s">
        <v>397</v>
      </c>
    </row>
    <row r="2" spans="1:8" x14ac:dyDescent="0.15">
      <c r="A2" s="244"/>
      <c r="B2" s="250" t="s">
        <v>351</v>
      </c>
      <c r="C2" s="251" t="s">
        <v>352</v>
      </c>
      <c r="D2" s="250" t="s">
        <v>84</v>
      </c>
      <c r="E2" s="251" t="s">
        <v>352</v>
      </c>
    </row>
    <row r="3" spans="1:8" x14ac:dyDescent="0.15">
      <c r="A3" s="252" t="s">
        <v>353</v>
      </c>
      <c r="B3" s="446">
        <v>65</v>
      </c>
      <c r="C3" s="447">
        <v>68.25</v>
      </c>
      <c r="D3" s="446">
        <f>B3*5*52/12</f>
        <v>1408.3333333333333</v>
      </c>
      <c r="E3" s="446">
        <f>C3*5*52/12</f>
        <v>1478.75</v>
      </c>
      <c r="F3" s="445">
        <f>D3*12</f>
        <v>16900</v>
      </c>
    </row>
    <row r="4" spans="1:8" x14ac:dyDescent="0.15">
      <c r="A4" s="256" t="s">
        <v>354</v>
      </c>
      <c r="B4" s="446">
        <v>58</v>
      </c>
      <c r="C4" s="447">
        <v>60.9</v>
      </c>
      <c r="D4" s="446">
        <f t="shared" ref="D4:E6" si="0">B4*5*52/12</f>
        <v>1256.6666666666667</v>
      </c>
      <c r="E4" s="446">
        <f t="shared" si="0"/>
        <v>1319.5</v>
      </c>
      <c r="F4" s="445">
        <f t="shared" ref="F4:F6" si="1">D4*12</f>
        <v>15080</v>
      </c>
    </row>
    <row r="5" spans="1:8" x14ac:dyDescent="0.15">
      <c r="A5" s="256" t="s">
        <v>355</v>
      </c>
      <c r="B5" s="446">
        <v>51</v>
      </c>
      <c r="C5" s="447">
        <v>55.69</v>
      </c>
      <c r="D5" s="446">
        <f t="shared" si="0"/>
        <v>1105</v>
      </c>
      <c r="E5" s="446">
        <f t="shared" si="0"/>
        <v>1206.6166666666666</v>
      </c>
      <c r="F5" s="445">
        <f t="shared" si="1"/>
        <v>13260</v>
      </c>
    </row>
    <row r="6" spans="1:8" x14ac:dyDescent="0.15">
      <c r="A6" s="256" t="s">
        <v>2</v>
      </c>
      <c r="B6" s="446">
        <v>38</v>
      </c>
      <c r="C6" s="447">
        <v>39.9</v>
      </c>
      <c r="D6" s="446">
        <f t="shared" si="0"/>
        <v>823.33333333333337</v>
      </c>
      <c r="E6" s="446">
        <f t="shared" si="0"/>
        <v>864.5</v>
      </c>
      <c r="F6" s="445">
        <f t="shared" si="1"/>
        <v>9880</v>
      </c>
    </row>
    <row r="7" spans="1:8" x14ac:dyDescent="0.15">
      <c r="A7" s="244"/>
      <c r="B7" s="244"/>
      <c r="C7" s="244"/>
      <c r="D7" s="244"/>
      <c r="E7" s="244"/>
      <c r="F7" s="445"/>
    </row>
    <row r="8" spans="1:8" x14ac:dyDescent="0.15">
      <c r="A8" s="244"/>
      <c r="B8" s="244"/>
      <c r="C8" s="244"/>
      <c r="D8" s="244"/>
      <c r="E8" s="244"/>
      <c r="F8" s="445"/>
    </row>
    <row r="9" spans="1:8" x14ac:dyDescent="0.15">
      <c r="A9" s="244"/>
      <c r="B9" s="244"/>
      <c r="C9" s="244"/>
      <c r="D9" s="244"/>
      <c r="E9" s="244"/>
    </row>
    <row r="10" spans="1:8" x14ac:dyDescent="0.15">
      <c r="A10" s="14" t="s">
        <v>356</v>
      </c>
    </row>
    <row r="11" spans="1:8" x14ac:dyDescent="0.15">
      <c r="A11" s="14"/>
    </row>
  </sheetData>
  <hyperlinks>
    <hyperlink ref="A10" r:id="rId1" xr:uid="{DD425A05-6D37-664A-930A-77B9D2A18BDC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7294D-1D55-764D-AA87-0A1182691D12}">
  <sheetPr codeName="Sheet8">
    <tabColor theme="5"/>
  </sheetPr>
  <dimension ref="A1:F33"/>
  <sheetViews>
    <sheetView zoomScale="113" workbookViewId="0">
      <selection activeCell="A20" sqref="A20"/>
    </sheetView>
    <sheetView workbookViewId="1"/>
  </sheetViews>
  <sheetFormatPr baseColWidth="10" defaultColWidth="10.83203125" defaultRowHeight="13" x14ac:dyDescent="0.15"/>
  <cols>
    <col min="1" max="16384" width="10.83203125" style="249"/>
  </cols>
  <sheetData>
    <row r="1" spans="1:6" x14ac:dyDescent="0.15">
      <c r="A1" s="244" t="s">
        <v>97</v>
      </c>
      <c r="B1" s="245"/>
      <c r="C1" s="246"/>
      <c r="D1" s="247"/>
      <c r="E1" s="248"/>
    </row>
    <row r="2" spans="1:6" x14ac:dyDescent="0.15">
      <c r="A2" s="244"/>
      <c r="B2" s="250" t="s">
        <v>351</v>
      </c>
      <c r="C2" s="251" t="s">
        <v>352</v>
      </c>
      <c r="D2" s="250" t="s">
        <v>84</v>
      </c>
      <c r="E2" s="251" t="s">
        <v>352</v>
      </c>
      <c r="F2" s="14"/>
    </row>
    <row r="3" spans="1:6" x14ac:dyDescent="0.15">
      <c r="A3" s="252" t="s">
        <v>353</v>
      </c>
      <c r="B3" s="253">
        <v>75</v>
      </c>
      <c r="C3" s="254"/>
      <c r="D3" s="255">
        <f>B3*5*52/12</f>
        <v>1625</v>
      </c>
      <c r="E3" s="255">
        <f>C3*5*52/12</f>
        <v>0</v>
      </c>
    </row>
    <row r="4" spans="1:6" x14ac:dyDescent="0.15">
      <c r="A4" s="256" t="s">
        <v>354</v>
      </c>
      <c r="B4" s="253">
        <v>68.760000000000005</v>
      </c>
      <c r="C4" s="254"/>
      <c r="D4" s="255">
        <f t="shared" ref="D4:E6" si="0">B4*5*52/12</f>
        <v>1489.8000000000002</v>
      </c>
      <c r="E4" s="255">
        <f t="shared" si="0"/>
        <v>0</v>
      </c>
    </row>
    <row r="5" spans="1:6" x14ac:dyDescent="0.15">
      <c r="A5" s="256" t="s">
        <v>355</v>
      </c>
      <c r="B5" s="253">
        <v>60.4</v>
      </c>
      <c r="C5" s="254"/>
      <c r="D5" s="255">
        <f t="shared" si="0"/>
        <v>1308.6666666666667</v>
      </c>
      <c r="E5" s="255">
        <f t="shared" si="0"/>
        <v>0</v>
      </c>
    </row>
    <row r="6" spans="1:6" x14ac:dyDescent="0.15">
      <c r="A6" s="459" t="s">
        <v>357</v>
      </c>
      <c r="B6" s="253">
        <v>33.950000000000003</v>
      </c>
      <c r="C6" s="254"/>
      <c r="D6" s="255">
        <f t="shared" si="0"/>
        <v>735.58333333333337</v>
      </c>
      <c r="E6" s="255">
        <f t="shared" si="0"/>
        <v>0</v>
      </c>
    </row>
    <row r="7" spans="1:6" x14ac:dyDescent="0.15">
      <c r="A7" s="244"/>
      <c r="B7" s="244"/>
      <c r="C7" s="244"/>
      <c r="D7" s="244"/>
      <c r="E7" s="244"/>
    </row>
    <row r="8" spans="1:6" x14ac:dyDescent="0.15">
      <c r="A8" s="244"/>
      <c r="B8" s="244"/>
      <c r="C8" s="244"/>
      <c r="D8" s="244"/>
      <c r="E8" s="244"/>
    </row>
    <row r="9" spans="1:6" x14ac:dyDescent="0.15">
      <c r="A9" s="244" t="s">
        <v>189</v>
      </c>
      <c r="B9" s="245"/>
      <c r="C9" s="246"/>
      <c r="D9" s="247"/>
      <c r="E9" s="248"/>
    </row>
    <row r="10" spans="1:6" x14ac:dyDescent="0.15">
      <c r="A10" s="244"/>
      <c r="B10" s="250" t="s">
        <v>351</v>
      </c>
      <c r="C10" s="251" t="s">
        <v>352</v>
      </c>
      <c r="D10" s="250" t="s">
        <v>84</v>
      </c>
      <c r="E10" s="251" t="s">
        <v>352</v>
      </c>
    </row>
    <row r="11" spans="1:6" x14ac:dyDescent="0.15">
      <c r="A11" s="252" t="s">
        <v>4</v>
      </c>
      <c r="B11" s="253">
        <v>62.38</v>
      </c>
      <c r="C11" s="254"/>
      <c r="D11" s="255">
        <f>B11*5*52/12</f>
        <v>1351.5666666666668</v>
      </c>
      <c r="E11" s="255">
        <f>C11*5*52/12</f>
        <v>0</v>
      </c>
    </row>
    <row r="12" spans="1:6" x14ac:dyDescent="0.15">
      <c r="A12" s="256" t="s">
        <v>7</v>
      </c>
      <c r="B12" s="253">
        <v>57</v>
      </c>
      <c r="C12" s="254"/>
      <c r="D12" s="255">
        <f t="shared" ref="D12:E14" si="1">B12*5*52/12</f>
        <v>1235</v>
      </c>
      <c r="E12" s="255">
        <f t="shared" si="1"/>
        <v>0</v>
      </c>
    </row>
    <row r="13" spans="1:6" x14ac:dyDescent="0.15">
      <c r="A13" s="256" t="s">
        <v>358</v>
      </c>
      <c r="B13" s="253">
        <v>50</v>
      </c>
      <c r="C13" s="254"/>
      <c r="D13" s="255">
        <f t="shared" si="1"/>
        <v>1083.3333333333333</v>
      </c>
      <c r="E13" s="255">
        <f t="shared" si="1"/>
        <v>0</v>
      </c>
    </row>
    <row r="14" spans="1:6" x14ac:dyDescent="0.15">
      <c r="A14" s="459" t="s">
        <v>357</v>
      </c>
      <c r="B14" s="253">
        <v>30</v>
      </c>
      <c r="C14" s="254"/>
      <c r="D14" s="255">
        <f t="shared" si="1"/>
        <v>650</v>
      </c>
      <c r="E14" s="255">
        <f t="shared" si="1"/>
        <v>0</v>
      </c>
    </row>
    <row r="15" spans="1:6" x14ac:dyDescent="0.15">
      <c r="A15" s="244"/>
      <c r="B15" s="244"/>
      <c r="C15" s="244"/>
      <c r="D15" s="244"/>
      <c r="E15" s="244"/>
    </row>
    <row r="16" spans="1:6" x14ac:dyDescent="0.15">
      <c r="A16" s="244"/>
      <c r="B16" s="244"/>
      <c r="C16" s="244"/>
      <c r="D16" s="244"/>
      <c r="E16" s="244"/>
    </row>
    <row r="17" spans="1:5" x14ac:dyDescent="0.15">
      <c r="A17" s="244" t="s">
        <v>190</v>
      </c>
      <c r="B17" s="245"/>
      <c r="C17" s="246"/>
      <c r="D17" s="247"/>
      <c r="E17" s="248"/>
    </row>
    <row r="18" spans="1:5" x14ac:dyDescent="0.15">
      <c r="A18" s="244"/>
      <c r="B18" s="250" t="s">
        <v>351</v>
      </c>
      <c r="C18" s="251" t="s">
        <v>352</v>
      </c>
      <c r="D18" s="250" t="s">
        <v>84</v>
      </c>
      <c r="E18" s="251" t="s">
        <v>352</v>
      </c>
    </row>
    <row r="19" spans="1:5" x14ac:dyDescent="0.15">
      <c r="A19" s="252" t="s">
        <v>4</v>
      </c>
      <c r="B19" s="253">
        <v>62.38</v>
      </c>
      <c r="C19" s="254"/>
      <c r="D19" s="255">
        <f>B19*5*52/12</f>
        <v>1351.5666666666668</v>
      </c>
      <c r="E19" s="255">
        <f>C19*5*52/12</f>
        <v>0</v>
      </c>
    </row>
    <row r="20" spans="1:5" x14ac:dyDescent="0.15">
      <c r="A20" s="256" t="s">
        <v>7</v>
      </c>
      <c r="B20" s="253">
        <v>57</v>
      </c>
      <c r="C20" s="254"/>
      <c r="D20" s="255">
        <f t="shared" ref="D20:E22" si="2">B20*5*52/12</f>
        <v>1235</v>
      </c>
      <c r="E20" s="255">
        <f t="shared" si="2"/>
        <v>0</v>
      </c>
    </row>
    <row r="21" spans="1:5" x14ac:dyDescent="0.15">
      <c r="A21" s="256" t="s">
        <v>358</v>
      </c>
      <c r="B21" s="253">
        <v>50</v>
      </c>
      <c r="C21" s="254"/>
      <c r="D21" s="255">
        <f t="shared" si="2"/>
        <v>1083.3333333333333</v>
      </c>
      <c r="E21" s="255">
        <f t="shared" si="2"/>
        <v>0</v>
      </c>
    </row>
    <row r="22" spans="1:5" x14ac:dyDescent="0.15">
      <c r="A22" s="459" t="s">
        <v>357</v>
      </c>
      <c r="B22" s="253">
        <v>30</v>
      </c>
      <c r="C22" s="254"/>
      <c r="D22" s="255">
        <f t="shared" si="2"/>
        <v>650</v>
      </c>
      <c r="E22" s="255">
        <f t="shared" si="2"/>
        <v>0</v>
      </c>
    </row>
    <row r="23" spans="1:5" x14ac:dyDescent="0.15">
      <c r="A23" s="244"/>
      <c r="B23" s="244"/>
      <c r="C23" s="244"/>
      <c r="D23" s="244"/>
      <c r="E23" s="244"/>
    </row>
    <row r="24" spans="1:5" x14ac:dyDescent="0.15">
      <c r="A24" s="59" t="s">
        <v>359</v>
      </c>
    </row>
    <row r="26" spans="1:5" x14ac:dyDescent="0.15">
      <c r="B26" s="257"/>
      <c r="C26" s="258"/>
      <c r="D26" s="258"/>
      <c r="E26" s="259"/>
    </row>
    <row r="27" spans="1:5" x14ac:dyDescent="0.15">
      <c r="A27" s="260"/>
      <c r="B27" s="261"/>
      <c r="E27" s="262"/>
    </row>
    <row r="28" spans="1:5" x14ac:dyDescent="0.15">
      <c r="A28" s="263"/>
      <c r="B28" s="261"/>
      <c r="E28" s="262"/>
    </row>
    <row r="29" spans="1:5" x14ac:dyDescent="0.15">
      <c r="A29" s="263"/>
      <c r="B29" s="261"/>
      <c r="E29" s="262"/>
    </row>
    <row r="30" spans="1:5" x14ac:dyDescent="0.15">
      <c r="A30" s="264"/>
      <c r="B30" s="265"/>
      <c r="C30" s="266"/>
      <c r="D30" s="267"/>
      <c r="E30" s="267"/>
    </row>
    <row r="31" spans="1:5" x14ac:dyDescent="0.15">
      <c r="A31" s="262"/>
      <c r="B31" s="261"/>
      <c r="E31" s="262"/>
    </row>
    <row r="32" spans="1:5" x14ac:dyDescent="0.15">
      <c r="A32" s="457" t="s">
        <v>360</v>
      </c>
      <c r="B32" s="458"/>
    </row>
    <row r="33" spans="1:2" x14ac:dyDescent="0.15">
      <c r="A33" s="14" t="s">
        <v>361</v>
      </c>
      <c r="B33"/>
    </row>
  </sheetData>
  <hyperlinks>
    <hyperlink ref="A33" r:id="rId1" xr:uid="{BACCD936-CFC4-C846-8B66-BA8636C1E70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AA53-3C69-7046-BB17-6142112CBC34}">
  <sheetPr codeName="Sheet9">
    <tabColor theme="5" tint="0.39997558519241921"/>
  </sheetPr>
  <dimension ref="A1:T10"/>
  <sheetViews>
    <sheetView workbookViewId="0">
      <selection activeCell="A20" sqref="A20"/>
    </sheetView>
    <sheetView workbookViewId="1"/>
  </sheetViews>
  <sheetFormatPr baseColWidth="10" defaultColWidth="8.83203125" defaultRowHeight="13" x14ac:dyDescent="0.15"/>
  <cols>
    <col min="1" max="1" width="13.83203125" style="386" customWidth="1"/>
    <col min="2" max="2" width="8.83203125" style="386"/>
    <col min="3" max="3" width="8.83203125" style="386" customWidth="1"/>
    <col min="4" max="16384" width="8.83203125" style="386"/>
  </cols>
  <sheetData>
    <row r="1" spans="1:20" x14ac:dyDescent="0.15">
      <c r="A1" s="386" t="s">
        <v>362</v>
      </c>
      <c r="L1" s="387" t="s">
        <v>363</v>
      </c>
    </row>
    <row r="2" spans="1:20" x14ac:dyDescent="0.15">
      <c r="A2" s="386" t="s">
        <v>364</v>
      </c>
    </row>
    <row r="3" spans="1:20" ht="25.75" customHeight="1" x14ac:dyDescent="0.15">
      <c r="A3" s="386" t="s">
        <v>365</v>
      </c>
    </row>
    <row r="4" spans="1:20" x14ac:dyDescent="0.15">
      <c r="A4" s="386" t="s">
        <v>366</v>
      </c>
      <c r="H4" s="388"/>
      <c r="I4" s="389" t="s">
        <v>367</v>
      </c>
      <c r="Q4" s="14" t="s">
        <v>368</v>
      </c>
    </row>
    <row r="5" spans="1:20" ht="28" x14ac:dyDescent="0.15">
      <c r="A5" s="390" t="s">
        <v>369</v>
      </c>
      <c r="D5" s="391" t="s">
        <v>370</v>
      </c>
      <c r="E5" s="392" t="s">
        <v>371</v>
      </c>
      <c r="F5" s="391" t="s">
        <v>372</v>
      </c>
      <c r="H5" s="390" t="s">
        <v>373</v>
      </c>
      <c r="J5" s="386" t="s">
        <v>374</v>
      </c>
      <c r="L5" s="386" t="s">
        <v>375</v>
      </c>
      <c r="R5" s="391"/>
      <c r="S5" s="392"/>
      <c r="T5" s="391"/>
    </row>
    <row r="6" spans="1:20" x14ac:dyDescent="0.15">
      <c r="A6" s="386" t="s">
        <v>376</v>
      </c>
      <c r="B6" s="386" t="s">
        <v>377</v>
      </c>
      <c r="D6" s="393">
        <v>0.39</v>
      </c>
      <c r="E6" s="393">
        <v>0.42</v>
      </c>
      <c r="F6" s="393">
        <v>0.11</v>
      </c>
      <c r="H6" s="393">
        <f>SUM(D6,E6,2*F6)</f>
        <v>1.03</v>
      </c>
      <c r="J6" s="394">
        <f>5*H6</f>
        <v>5.15</v>
      </c>
      <c r="L6" s="393">
        <f>D6+(2*F6)</f>
        <v>0.61</v>
      </c>
    </row>
    <row r="7" spans="1:20" x14ac:dyDescent="0.15">
      <c r="A7" s="386" t="s">
        <v>378</v>
      </c>
      <c r="B7" s="386" t="s">
        <v>379</v>
      </c>
      <c r="D7" s="393">
        <v>2.0699999999999998</v>
      </c>
      <c r="E7" s="393">
        <v>4.03</v>
      </c>
      <c r="F7" s="393">
        <v>0.6</v>
      </c>
      <c r="H7" s="393">
        <f>SUM(D7,E7,2*F7)</f>
        <v>7.3</v>
      </c>
      <c r="J7" s="394">
        <f>5*H7</f>
        <v>36.5</v>
      </c>
      <c r="L7" s="393">
        <f>D7+(2*F7)</f>
        <v>3.2699999999999996</v>
      </c>
    </row>
    <row r="8" spans="1:20" x14ac:dyDescent="0.15">
      <c r="A8" s="386" t="s">
        <v>380</v>
      </c>
      <c r="B8" s="386" t="s">
        <v>381</v>
      </c>
      <c r="D8" s="393">
        <v>2.37</v>
      </c>
      <c r="E8" s="393">
        <v>4.43</v>
      </c>
      <c r="F8" s="393">
        <v>1.21</v>
      </c>
      <c r="H8" s="393">
        <f>SUM(D8,E8,2*F8)</f>
        <v>9.2199999999999989</v>
      </c>
      <c r="J8" s="394">
        <f>5*H8</f>
        <v>46.099999999999994</v>
      </c>
      <c r="L8" s="393">
        <f>D8+(2*F8)</f>
        <v>4.79</v>
      </c>
    </row>
    <row r="9" spans="1:20" x14ac:dyDescent="0.15">
      <c r="D9" s="393"/>
      <c r="E9" s="393"/>
      <c r="F9" s="393"/>
    </row>
    <row r="10" spans="1:20" x14ac:dyDescent="0.15">
      <c r="H10" s="389" t="s">
        <v>382</v>
      </c>
    </row>
  </sheetData>
  <hyperlinks>
    <hyperlink ref="Q4" r:id="rId1" xr:uid="{AA5CAE1E-8AEC-764C-9A52-1C32602663F6}"/>
  </hyperlinks>
  <pageMargins left="0.75" right="0.75" top="1" bottom="1" header="0.5" footer="0.5"/>
  <pageSetup orientation="portrait" horizontalDpi="4294967293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E0CA48B592B540AE872CD132CDA518" ma:contentTypeVersion="15" ma:contentTypeDescription="Create a new document." ma:contentTypeScope="" ma:versionID="073746f0707d2a93897cadd90673e395">
  <xsd:schema xmlns:xsd="http://www.w3.org/2001/XMLSchema" xmlns:xs="http://www.w3.org/2001/XMLSchema" xmlns:p="http://schemas.microsoft.com/office/2006/metadata/properties" xmlns:ns2="db02e63f-c57a-4094-ac27-81bb96728ce4" xmlns:ns3="10e25aaf-7277-47a3-ac6f-8bf087b3d215" targetNamespace="http://schemas.microsoft.com/office/2006/metadata/properties" ma:root="true" ma:fieldsID="aff491623b677023b8ca5207af858d6b" ns2:_="" ns3:_="">
    <xsd:import namespace="db02e63f-c57a-4094-ac27-81bb96728ce4"/>
    <xsd:import namespace="10e25aaf-7277-47a3-ac6f-8bf087b3d2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2e63f-c57a-4094-ac27-81bb96728c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dc2e105-0a4e-4d3e-b8dd-4fcf47bc68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25aaf-7277-47a3-ac6f-8bf087b3d21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8116259-e888-4ce3-a483-c6a743b01ed1}" ma:internalName="TaxCatchAll" ma:showField="CatchAllData" ma:web="10e25aaf-7277-47a3-ac6f-8bf087b3d2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0e25aaf-7277-47a3-ac6f-8bf087b3d215">
      <UserInfo>
        <DisplayName>Jeanna Capito [P5FS]</DisplayName>
        <AccountId>7</AccountId>
        <AccountType/>
      </UserInfo>
    </SharedWithUsers>
    <TaxCatchAll xmlns="10e25aaf-7277-47a3-ac6f-8bf087b3d215" xsi:nil="true"/>
    <lcf76f155ced4ddcb4097134ff3c332f xmlns="db02e63f-c57a-4094-ac27-81bb96728ce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6251C47-7AA0-45E7-A83B-0864845477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E94871-0076-40C6-9E81-F69652FF78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2e63f-c57a-4094-ac27-81bb96728ce4"/>
    <ds:schemaRef ds:uri="10e25aaf-7277-47a3-ac6f-8bf087b3d2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CFB0E2D-B819-4914-A0C1-9E2A4FE4A6D3}">
  <ds:schemaRefs>
    <ds:schemaRef ds:uri="http://schemas.openxmlformats.org/package/2006/metadata/core-properties"/>
    <ds:schemaRef ds:uri="http://www.w3.org/XML/1998/namespace"/>
    <ds:schemaRef ds:uri="db02e63f-c57a-4094-ac27-81bb96728ce4"/>
    <ds:schemaRef ds:uri="http://purl.org/dc/terms/"/>
    <ds:schemaRef ds:uri="10e25aaf-7277-47a3-ac6f-8bf087b3d215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37</vt:i4>
      </vt:variant>
    </vt:vector>
  </HeadingPairs>
  <TitlesOfParts>
    <vt:vector size="46" baseType="lpstr">
      <vt:lpstr>VariablesINPUT-CTR</vt:lpstr>
      <vt:lpstr>Quality Center Profile</vt:lpstr>
      <vt:lpstr>QualVar</vt:lpstr>
      <vt:lpstr>Wages</vt:lpstr>
      <vt:lpstr>Ratios</vt:lpstr>
      <vt:lpstr>Nonpersonnel PCQC</vt:lpstr>
      <vt:lpstr>Subsidy Rates</vt:lpstr>
      <vt:lpstr>Tuition Rates</vt:lpstr>
      <vt:lpstr>Fed CACFP</vt:lpstr>
      <vt:lpstr>'Fed CACFP'!_NumberTeachingStaff</vt:lpstr>
      <vt:lpstr>_NumberTeachingStaff</vt:lpstr>
      <vt:lpstr>AdditionalBenefits</vt:lpstr>
      <vt:lpstr>Addl_benefits_per_staff</vt:lpstr>
      <vt:lpstr>Admin_Staff</vt:lpstr>
      <vt:lpstr>Asst_Teacher</vt:lpstr>
      <vt:lpstr>Asst_TeacherIT</vt:lpstr>
      <vt:lpstr>BadDebt</vt:lpstr>
      <vt:lpstr>EnrollEffic</vt:lpstr>
      <vt:lpstr>Floater_Assts</vt:lpstr>
      <vt:lpstr>HealthIns</vt:lpstr>
      <vt:lpstr>InfantClassrooms</vt:lpstr>
      <vt:lpstr>Infants</vt:lpstr>
      <vt:lpstr>LeadTeacher</vt:lpstr>
      <vt:lpstr>LeadTeacherIT</vt:lpstr>
      <vt:lpstr>MandatoryBenefits</vt:lpstr>
      <vt:lpstr>Nonpersonnel</vt:lpstr>
      <vt:lpstr>NP_EdProgram</vt:lpstr>
      <vt:lpstr>NP_MgtAdmin</vt:lpstr>
      <vt:lpstr>NP_Occupancy</vt:lpstr>
      <vt:lpstr>Occupancy</vt:lpstr>
      <vt:lpstr>Paid_Leave</vt:lpstr>
      <vt:lpstr>Personnel</vt:lpstr>
      <vt:lpstr>Preschoolers</vt:lpstr>
      <vt:lpstr>PreschoolersClassroom</vt:lpstr>
      <vt:lpstr>'VariablesINPUT-CTR'!Print_Area</vt:lpstr>
      <vt:lpstr>Reserve_Fund</vt:lpstr>
      <vt:lpstr>SchoolageClassroom</vt:lpstr>
      <vt:lpstr>Sick_Days</vt:lpstr>
      <vt:lpstr>Subs</vt:lpstr>
      <vt:lpstr>ToddlerClassrooms</vt:lpstr>
      <vt:lpstr>Toddlers</vt:lpstr>
      <vt:lpstr>TotalChildren</vt:lpstr>
      <vt:lpstr>TotalClassrooms</vt:lpstr>
      <vt:lpstr>Twos</vt:lpstr>
      <vt:lpstr>TwosClassroom</vt:lpstr>
      <vt:lpstr>TwosClassrooms</vt:lpstr>
    </vt:vector>
  </TitlesOfParts>
  <Manager/>
  <Company>Early Childhood Policy Research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 Mitchell</dc:creator>
  <cp:keywords/>
  <dc:description/>
  <cp:lastModifiedBy>Simon Workman [P5FS]</cp:lastModifiedBy>
  <cp:revision/>
  <dcterms:created xsi:type="dcterms:W3CDTF">2008-09-19T15:38:02Z</dcterms:created>
  <dcterms:modified xsi:type="dcterms:W3CDTF">2024-11-18T13:13:22Z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haredWithUsers">
    <vt:lpwstr>7;#Jeanna Capito [P5FS]</vt:lpwstr>
  </property>
  <property fmtid="{D5CDD505-2E9C-101B-9397-08002B2CF9AE}" pid="3" name="ContentTypeId">
    <vt:lpwstr>0x010100E0E0CA48B592B540AE872CD132CDA518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  <property fmtid="{D5CDD505-2E9C-101B-9397-08002B2CF9AE}" pid="10" name="xd_ProgID">
    <vt:lpwstr/>
  </property>
  <property fmtid="{D5CDD505-2E9C-101B-9397-08002B2CF9AE}" pid="11" name="TemplateUrl">
    <vt:lpwstr/>
  </property>
  <property fmtid="{D5CDD505-2E9C-101B-9397-08002B2CF9AE}" pid="12" name="xd_Signature">
    <vt:bool>false</vt:bool>
  </property>
</Properties>
</file>