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defaultThemeVersion="124226"/>
  <mc:AlternateContent xmlns:mc="http://schemas.openxmlformats.org/markup-compatibility/2006">
    <mc:Choice Requires="x15">
      <x15ac:absPath xmlns:x15ac="http://schemas.microsoft.com/office/spreadsheetml/2010/11/ac" url="https://p5fiscal.sharepoint.com/Shared Documents/Delaware/Cost Model/2024 Public Models/"/>
    </mc:Choice>
  </mc:AlternateContent>
  <xr:revisionPtr revIDLastSave="37" documentId="8_{E497E9B3-E85C-EF48-BD08-13CD781FF641}" xr6:coauthVersionLast="47" xr6:coauthVersionMax="47" xr10:uidLastSave="{D1936FF6-B906-2F47-BA3E-70AB90282592}"/>
  <workbookProtection workbookAlgorithmName="SHA-512" workbookHashValue="N4ePnJi8hsSyiYYxAgCn12/I5kMi/jQpcryALs026DzxD5ctPdfI413dIhln1cJAE785ryGCPnqyKkY1AnC/GQ==" workbookSaltValue="AYmpFvLcjDCGaCeeYgRmZA==" workbookSpinCount="100000" lockStructure="1"/>
  <bookViews>
    <workbookView xWindow="3580" yWindow="700" windowWidth="22080" windowHeight="16080" xr2:uid="{976AF511-C087-7E4F-A362-F4D8CC2466B7}"/>
  </bookViews>
  <sheets>
    <sheet name="VariablesINPUT-FCC" sheetId="35" r:id="rId1"/>
    <sheet name="Quality Home Profile" sheetId="1" state="hidden" r:id="rId2"/>
    <sheet name="License-Exempt profile" sheetId="108" state="hidden" r:id="rId3"/>
    <sheet name="QualVar" sheetId="102" state="hidden" r:id="rId4"/>
    <sheet name="Nonpersonnel PCQC" sheetId="77" state="hidden" r:id="rId5"/>
    <sheet name="Wages" sheetId="91" state="hidden" r:id="rId6"/>
    <sheet name="Subsidy Rates" sheetId="103" state="hidden" r:id="rId7"/>
    <sheet name="Tuition Rates" sheetId="104" state="hidden" r:id="rId8"/>
    <sheet name="Fed CACFP" sheetId="106"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0" hidden="1">'VariablesINPUT-FCC'!$A$10:$D$16</definedName>
    <definedName name="_NumberTeachingStaff" localSheetId="2">'License-Exempt profile'!#REF!</definedName>
    <definedName name="_NumberTeachingStaff">'Quality Home Profile'!$A$32</definedName>
    <definedName name="AAdegree" localSheetId="8">#REF!</definedName>
    <definedName name="AAdegree">'VariablesINPUT-FCC'!#REF!</definedName>
    <definedName name="AdditionalBenefits" localSheetId="8">#REF!</definedName>
    <definedName name="AdditionalBenefits" localSheetId="2">'License-Exempt profile'!#REF!</definedName>
    <definedName name="AdditionalBenefits">'Quality Home Profile'!#REF!</definedName>
    <definedName name="Addl_benefits_per_staff" localSheetId="8">'[1]Quality Center Profile'!$C$39</definedName>
    <definedName name="Addl_benefits_per_staff" localSheetId="2">'License-Exempt profile'!#REF!</definedName>
    <definedName name="Addl_benefits_per_staff">'Quality Home Profile'!#REF!</definedName>
    <definedName name="Admin_Staff" localSheetId="8">#REF!</definedName>
    <definedName name="Admin_Staff" localSheetId="2">'License-Exempt profile'!#REF!</definedName>
    <definedName name="Admin_Staff">'Quality Home Profile'!$C$18</definedName>
    <definedName name="Administration__by_child" localSheetId="8">'[2]Nonpersonnel Aggregated'!$B$21</definedName>
    <definedName name="Administration__by_child">#REF!</definedName>
    <definedName name="Asst_Teacher" localSheetId="8">#REF!</definedName>
    <definedName name="Asst_Teacher" localSheetId="2">'License-Exempt profile'!$D$17</definedName>
    <definedName name="Asst_Teacher">'Quality Home Profile'!$C$26</definedName>
    <definedName name="Asst_TeacherIT" localSheetId="2">'License-Exempt profile'!$D$17</definedName>
    <definedName name="Asst_TeacherIT">'Quality Home Profile'!$C$26</definedName>
    <definedName name="AsstTeacherFCC">'Quality Home Profile'!$C$18</definedName>
    <definedName name="BadDebt" localSheetId="8">#REF!</definedName>
    <definedName name="BadDebt">'VariablesINPUT-FCC'!$D$49</definedName>
    <definedName name="BAdegree" localSheetId="8">#REF!</definedName>
    <definedName name="BAdegree">'VariablesINPUT-FCC'!#REF!</definedName>
    <definedName name="BLSsalary" localSheetId="8">'[1]VariablesINPUT-FCC'!#REF!</definedName>
    <definedName name="BLSsalary">#REF!</definedName>
    <definedName name="City_Fours" localSheetId="8">#REF!</definedName>
    <definedName name="City_Fours">#REF!</definedName>
    <definedName name="City_Infants" localSheetId="8">#REF!</definedName>
    <definedName name="City_Infants">#REF!</definedName>
    <definedName name="City_Threes" localSheetId="8">#REF!</definedName>
    <definedName name="City_Threes">#REF!</definedName>
    <definedName name="City_Toddlers" localSheetId="8">#REF!</definedName>
    <definedName name="City_Toddlers">#REF!</definedName>
    <definedName name="COunty" localSheetId="8">#REF!</definedName>
    <definedName name="COunty">'VariablesINPUT-FCC'!#REF!</definedName>
    <definedName name="Edprogram2">'[3]Quality Center Profile'!$D$58</definedName>
    <definedName name="Education_Program__by_child" localSheetId="8">'[2]Nonpersonnel Aggregated'!$B$23</definedName>
    <definedName name="Education_Program__by_child">#REF!</definedName>
    <definedName name="EnhRatio" localSheetId="8">#REF!</definedName>
    <definedName name="EnhRatio">'VariablesINPUT-FCC'!#REF!</definedName>
    <definedName name="EnhSpace" localSheetId="8">#REF!</definedName>
    <definedName name="EnhSpace">'VariablesINPUT-FCC'!#REF!</definedName>
    <definedName name="EnrollEffic" localSheetId="8">#REF!</definedName>
    <definedName name="EnrollEffic">'VariablesINPUT-FCC'!$D$48</definedName>
    <definedName name="Floater_Assts" localSheetId="8">#REF!</definedName>
    <definedName name="Floater_Assts" localSheetId="2">'License-Exempt profile'!#REF!</definedName>
    <definedName name="Floater_Assts">'Quality Home Profile'!$C$31</definedName>
    <definedName name="Fours" localSheetId="8">'[1]Quality Center Profile'!#REF!</definedName>
    <definedName name="Fours" localSheetId="2">'License-Exempt profile'!#REF!</definedName>
    <definedName name="Fours">'Quality Home Profile'!#REF!</definedName>
    <definedName name="Fours_City_Target_Subsidies">'[4]VariablesINPUT-CTR'!$E$29</definedName>
    <definedName name="Fours_Contract">'[2]VariablesINPUT-CTR'!$D$29</definedName>
    <definedName name="Fours_Private_Tuition" localSheetId="8">'[2]VariablesINPUT-CTR'!$F$29</definedName>
    <definedName name="Fours_Private_Tuition">'VariablesINPUT-FCC'!#REF!</definedName>
    <definedName name="FOURS_Tuition" localSheetId="8">#REF!</definedName>
    <definedName name="FOURS_Tuition">#REF!</definedName>
    <definedName name="Fours_Voucher">'[2]VariablesINPUT-CTR'!$C$29</definedName>
    <definedName name="FoursClassrooms" localSheetId="8">'[1]Quality Center Profile'!#REF!</definedName>
    <definedName name="FoursClassrooms" localSheetId="2">'License-Exempt profile'!#REF!</definedName>
    <definedName name="FoursClassrooms">'Quality Home Profile'!#REF!</definedName>
    <definedName name="HealthIns" localSheetId="8">#REF!</definedName>
    <definedName name="HealthIns">'VariablesINPUT-FCC'!$D$43</definedName>
    <definedName name="HealthInsFCC" localSheetId="8">'[1]VariablesINPUT-FCC'!$D$20</definedName>
    <definedName name="HealthInsFCC">#REF!</definedName>
    <definedName name="Infant_Aides" localSheetId="8">#REF!</definedName>
    <definedName name="Infant_Aides" localSheetId="2">'License-Exempt profile'!#REF!</definedName>
    <definedName name="Infant_Aides">'Quality Home Profile'!#REF!</definedName>
    <definedName name="Infant_Assts" localSheetId="8">'[4]Quality Center Profile'!#REF!</definedName>
    <definedName name="Infant_Assts" localSheetId="2">'License-Exempt profile'!#REF!</definedName>
    <definedName name="Infant_Assts">'Quality Home Profile'!#REF!</definedName>
    <definedName name="INFANT_Tuition">#REF!</definedName>
    <definedName name="InfantClassrooms" localSheetId="8">#REF!</definedName>
    <definedName name="InfantClassrooms" localSheetId="2">'License-Exempt profile'!$F$7</definedName>
    <definedName name="InfantClassrooms">'Quality Home Profile'!$F$7</definedName>
    <definedName name="Infants" localSheetId="8">#REF!</definedName>
    <definedName name="Infants" localSheetId="2">'License-Exempt profile'!$A$7</definedName>
    <definedName name="Infants">'Quality Home Profile'!$A$7</definedName>
    <definedName name="Infants_City_Target_Subsidies">'[4]VariablesINPUT-CTR'!$E$26</definedName>
    <definedName name="Infants_Contract">'[2]VariablesINPUT-CTR'!$D$26</definedName>
    <definedName name="Infants_Private_Tuition" localSheetId="8">'[2]VariablesINPUT-CTR'!$F$26</definedName>
    <definedName name="Infants_Private_Tuition">'VariablesINPUT-FCC'!#REF!</definedName>
    <definedName name="Infants_Voucher">'[2]VariablesINPUT-CTR'!$C$26</definedName>
    <definedName name="Kinder" localSheetId="8">#REF!</definedName>
    <definedName name="Kinder">'VariablesINPUT-FCC'!#REF!</definedName>
    <definedName name="KinderParity">#REF!</definedName>
    <definedName name="LeadTeacher" localSheetId="8">#REF!</definedName>
    <definedName name="LeadTeacher" localSheetId="2">'License-Exempt profile'!#REF!</definedName>
    <definedName name="LeadTeacher">'Quality Home Profile'!#REF!</definedName>
    <definedName name="LeadTeacherIT" localSheetId="2">'License-Exempt profile'!#REF!</definedName>
    <definedName name="LeadTeacherIT">'Quality Home Profile'!#REF!</definedName>
    <definedName name="MandatoryBenefits" localSheetId="8">#REF!</definedName>
    <definedName name="MandatoryBenefits" localSheetId="2">'License-Exempt profile'!#REF!</definedName>
    <definedName name="MandatoryBenefits">'Quality Home Profile'!#REF!</definedName>
    <definedName name="MinWage" localSheetId="8">#REF!</definedName>
    <definedName name="MinWage">'VariablesINPUT-FCC'!#REF!</definedName>
    <definedName name="ModelScale" localSheetId="8">#REF!</definedName>
    <definedName name="ModelScale">'VariablesINPUT-FCC'!#REF!</definedName>
    <definedName name="Nonpersonnel" localSheetId="8">#REF!</definedName>
    <definedName name="Nonpersonnel" localSheetId="2">'License-Exempt profile'!$C$41</definedName>
    <definedName name="Nonpersonnel">'Quality Home Profile'!$C$56</definedName>
    <definedName name="NP_EdProgram" localSheetId="8">#REF!</definedName>
    <definedName name="NP_EdProgram" localSheetId="2">'License-Exempt profile'!$D$38</definedName>
    <definedName name="NP_EdProgram">'Quality Home Profile'!$D$53</definedName>
    <definedName name="NP_MgtAdmin" localSheetId="8">#REF!</definedName>
    <definedName name="NP_MgtAdmin" localSheetId="2">'License-Exempt profile'!$C$40</definedName>
    <definedName name="NP_MgtAdmin">'Quality Home Profile'!$C$55</definedName>
    <definedName name="NP_Occupancy" localSheetId="8">#REF!</definedName>
    <definedName name="NP_Occupancy" localSheetId="2">'License-Exempt profile'!$C$39</definedName>
    <definedName name="NP_Occupancy">'Quality Home Profile'!$C$54</definedName>
    <definedName name="Npocc2">'[3]Quality Center Profile'!$D$59</definedName>
    <definedName name="Occupancy" localSheetId="2">'License-Exempt profile'!$C$39</definedName>
    <definedName name="Occupancy">'Quality Home Profile'!$C$54</definedName>
    <definedName name="Occupancy__by_classroom" localSheetId="8">'[5]Aggregated Data'!$B$29</definedName>
    <definedName name="Occupancy__by_classroom">#REF!</definedName>
    <definedName name="Ones_Private_Tuition">'VariablesINPUT-FCC'!#REF!</definedName>
    <definedName name="Paid_Leave" localSheetId="8">#REF!</definedName>
    <definedName name="Paid_Leave">'VariablesINPUT-FCC'!$D$45</definedName>
    <definedName name="PaidLeaveFCC" localSheetId="8">'[1]VariablesINPUT-FCC'!$D$22</definedName>
    <definedName name="PaidLeaveFCC">#REF!</definedName>
    <definedName name="Personnel" localSheetId="8">'[1]Quality Center Profile'!$D$40</definedName>
    <definedName name="Personnel" localSheetId="2">'License-Exempt profile'!#REF!</definedName>
    <definedName name="Personnel">'Quality Home Profile'!#REF!</definedName>
    <definedName name="Preschool_Aides" localSheetId="8">#REF!</definedName>
    <definedName name="Preschool_Aides" localSheetId="2">'License-Exempt profile'!#REF!</definedName>
    <definedName name="Preschool_Aides">'Quality Home Profile'!#REF!</definedName>
    <definedName name="PreschoolClassrooms" localSheetId="8">#REF!</definedName>
    <definedName name="PreschoolClassrooms" localSheetId="2">'License-Exempt profile'!#REF!</definedName>
    <definedName name="PreschoolClassrooms">'Quality Home Profile'!#REF!</definedName>
    <definedName name="Preschoolers" localSheetId="8">#REF!</definedName>
    <definedName name="Preschoolers" localSheetId="2">'License-Exempt profile'!$A$9</definedName>
    <definedName name="Preschoolers">'Quality Home Profile'!$A$9</definedName>
    <definedName name="PreschoolersClassroom" localSheetId="8">'[1]Quality Center Profile'!$F$9</definedName>
    <definedName name="PreschoolersClassroom" localSheetId="2">'License-Exempt profile'!$F$9</definedName>
    <definedName name="PreschoolersClassroom">'Quality Home Profile'!$F$9</definedName>
    <definedName name="_xlnm.Print_Area" localSheetId="0">'VariablesINPUT-FCC'!$A$1:$M$22</definedName>
    <definedName name="ProfDev" localSheetId="8">#REF!</definedName>
    <definedName name="ProfDev">'VariablesINPUT-FCC'!#REF!</definedName>
    <definedName name="QualityVarCost" localSheetId="2">'License-Exempt profile'!$D$35</definedName>
    <definedName name="QualityVarCost">'Quality Home Profile'!$D$50</definedName>
    <definedName name="RatioOpt" localSheetId="8">#REF!</definedName>
    <definedName name="RatioOpt">'VariablesINPUT-FCC'!#REF!</definedName>
    <definedName name="Region" localSheetId="8">#REF!</definedName>
    <definedName name="Region">'VariablesINPUT-FCC'!#REF!</definedName>
    <definedName name="RegionFCC" localSheetId="8">'[1]VariablesINPUT-FCC'!$F$2</definedName>
    <definedName name="RegionFCC">#REF!</definedName>
    <definedName name="Reserve_Fund" localSheetId="8">#REF!</definedName>
    <definedName name="Reserve_Fund" localSheetId="2">'License-Exempt profile'!$D$43</definedName>
    <definedName name="Reserve_Fund">'Quality Home Profile'!$D$59</definedName>
    <definedName name="Salary" localSheetId="8">#REF!</definedName>
    <definedName name="Salary">'VariablesINPUT-FCC'!#REF!</definedName>
    <definedName name="SalaryData" localSheetId="8">#REF!</definedName>
    <definedName name="SalaryData">'VariablesINPUT-FCC'!#REF!</definedName>
    <definedName name="SalaryLevel" localSheetId="8">#REF!</definedName>
    <definedName name="SalaryLevel">'VariablesINPUT-FCC'!#REF!</definedName>
    <definedName name="SalaryScale" localSheetId="8">#REF!</definedName>
    <definedName name="SalaryScale">'VariablesINPUT-FCC'!#REF!</definedName>
    <definedName name="SalaryScaleFCC" localSheetId="8">'[1]VariablesINPUT-FCC'!$D$16</definedName>
    <definedName name="SalaryScaleFCC">#REF!</definedName>
    <definedName name="SchoolageClassroom" localSheetId="2">'License-Exempt profile'!$F$10</definedName>
    <definedName name="SchoolageClassroom">'Quality Home Profile'!$F$10</definedName>
    <definedName name="Schoolagers" localSheetId="2">'License-Exempt profile'!$A$10</definedName>
    <definedName name="Schoolagers">'Quality Home Profile'!$A$10</definedName>
    <definedName name="Sick_Days" localSheetId="8">#REF!</definedName>
    <definedName name="Sick_Days">'VariablesINPUT-FCC'!$D$44</definedName>
    <definedName name="Sick_DaysFCC">'VariablesINPUT-FCC'!$D$44</definedName>
    <definedName name="SickDaysFCC" localSheetId="8">'[1]VariablesINPUT-FCC'!$D$21</definedName>
    <definedName name="SickDaysFCC">#REF!</definedName>
    <definedName name="StarLevel" localSheetId="8">#REF!</definedName>
    <definedName name="StarLevel">'VariablesINPUT-FCC'!#REF!</definedName>
    <definedName name="Subs" localSheetId="8">#REF!</definedName>
    <definedName name="Subs" localSheetId="2">'License-Exempt profile'!$D$21</definedName>
    <definedName name="Subs">'Quality Home Profile'!$C$37</definedName>
    <definedName name="Threes" localSheetId="8">'[1]Quality Center Profile'!#REF!</definedName>
    <definedName name="Threes" localSheetId="2">'License-Exempt profile'!#REF!</definedName>
    <definedName name="Threes">'Quality Home Profile'!#REF!</definedName>
    <definedName name="Threes_City_Target_Subsidies">'[4]VariablesINPUT-CTR'!$E$28</definedName>
    <definedName name="Threes_Contract">'[2]VariablesINPUT-CTR'!$D$28</definedName>
    <definedName name="Threes_Private_Tuition" localSheetId="8">'[2]VariablesINPUT-CTR'!$F$28</definedName>
    <definedName name="Threes_Private_Tuition">'VariablesINPUT-FCC'!#REF!</definedName>
    <definedName name="THREES_tuition" localSheetId="8">#REF!</definedName>
    <definedName name="THREES_tuition">#REF!</definedName>
    <definedName name="Threes_Voucher">'[2]VariablesINPUT-CTR'!$C$28</definedName>
    <definedName name="ThreesClassroom" localSheetId="8">'[1]Quality Center Profile'!#REF!</definedName>
    <definedName name="ThreesClassroom" localSheetId="2">'License-Exempt profile'!#REF!</definedName>
    <definedName name="ThreesClassroom">'Quality Home Profile'!#REF!</definedName>
    <definedName name="ThreesClassrooms" localSheetId="8">'[1]Quality Center Profile'!#REF!</definedName>
    <definedName name="ThreesClassrooms" localSheetId="2">'License-Exempt profile'!#REF!</definedName>
    <definedName name="ThreesClassrooms">'Quality Home Profile'!#REF!</definedName>
    <definedName name="TODDLER_Tuition" localSheetId="8">#REF!</definedName>
    <definedName name="TODDLER_Tuition">#REF!</definedName>
    <definedName name="ToddlerClassrooms" localSheetId="8">#REF!</definedName>
    <definedName name="ToddlerClassrooms" localSheetId="2">'License-Exempt profile'!$F$8</definedName>
    <definedName name="ToddlerClassrooms">'Quality Home Profile'!$F$8</definedName>
    <definedName name="Toddlers" localSheetId="8">#REF!</definedName>
    <definedName name="Toddlers" localSheetId="2">'License-Exempt profile'!$A$8</definedName>
    <definedName name="Toddlers">'Quality Home Profile'!$A$8</definedName>
    <definedName name="Toddlers_City_Target_Subsidies">'[4]VariablesINPUT-CTR'!$E$27</definedName>
    <definedName name="Toddlers_Contract">'[2]VariablesINPUT-CTR'!$D$27</definedName>
    <definedName name="Toddlers_Private_Tuition">'[2]VariablesINPUT-CTR'!$F$27</definedName>
    <definedName name="Toddlers_Voucher">'[2]VariablesINPUT-CTR'!$C$27</definedName>
    <definedName name="TOTAL_Children" localSheetId="8">#REF!</definedName>
    <definedName name="TOTAL_Children">#REF!</definedName>
    <definedName name="TotalChildren" localSheetId="8">#REF!</definedName>
    <definedName name="TotalChildren" localSheetId="2">'License-Exempt profile'!$A$11</definedName>
    <definedName name="TotalChildren">'Quality Home Profile'!$A$11</definedName>
    <definedName name="TotalClassrooms" localSheetId="8">#REF!</definedName>
    <definedName name="TotalClassrooms" localSheetId="2">'License-Exempt profile'!#REF!</definedName>
    <definedName name="TotalClassrooms">'Quality Home Profile'!#REF!</definedName>
    <definedName name="Twos" localSheetId="8">'[6]Quality Center Profile'!$A$9</definedName>
    <definedName name="Twos" localSheetId="2">'License-Exempt profile'!$A$9</definedName>
    <definedName name="Twos">'Quality Home Profile'!$A$9</definedName>
    <definedName name="Twos_Private_Tuition" localSheetId="8">#REF!</definedName>
    <definedName name="Twos_Private_Tuition">'VariablesINPUT-FCC'!#REF!</definedName>
    <definedName name="TwosClassroom" localSheetId="2">'License-Exempt profile'!$F$9</definedName>
    <definedName name="TwosClassroom">'Quality Home Profile'!$F$9</definedName>
    <definedName name="TwosClassrooms" localSheetId="8">'[6]Quality Center Profile'!$F$9</definedName>
    <definedName name="TwosClassrooms" localSheetId="2">'License-Exempt profile'!$F$9</definedName>
    <definedName name="TwosClassrooms">'Quality Home Profile'!$F$9</definedName>
    <definedName name="User" localSheetId="8">#REF!</definedName>
    <definedName name="User">'VariablesINPUT-FCC'!#REF!</definedName>
    <definedName name="VOUCHER_Fours" localSheetId="8">#REF!</definedName>
    <definedName name="VOUCHER_Fours">#REF!</definedName>
    <definedName name="VOUCHER_Infants" localSheetId="8">#REF!</definedName>
    <definedName name="VOUCHER_Infants">#REF!</definedName>
    <definedName name="VOUCHER_Threes" localSheetId="8">#REF!</definedName>
    <definedName name="VOUCHER_Threes">#REF!</definedName>
    <definedName name="VOUCHER_Toddlers" localSheetId="8">#REF!</definedName>
    <definedName name="VOUCHER_Toddlers">#REF!</definedName>
    <definedName name="Yes" localSheetId="8">#REF!</definedName>
    <definedName name="Yes">'VariablesINPUT-FCC'!#REF!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 l="1"/>
  <c r="F78" i="1"/>
  <c r="F77" i="1"/>
  <c r="F76" i="1"/>
  <c r="F75" i="1"/>
  <c r="F74" i="1"/>
  <c r="F73" i="1"/>
  <c r="F72" i="1"/>
  <c r="G76" i="35"/>
  <c r="G74" i="35"/>
  <c r="G75" i="35"/>
  <c r="G73" i="35"/>
  <c r="D10" i="91" l="1"/>
  <c r="C10" i="91"/>
  <c r="B10" i="91"/>
  <c r="G6" i="103" l="1"/>
  <c r="G5" i="103"/>
  <c r="G4" i="103"/>
  <c r="G3" i="103"/>
  <c r="F6" i="103"/>
  <c r="F5" i="103"/>
  <c r="F4" i="103"/>
  <c r="F3" i="103"/>
  <c r="B55" i="91"/>
  <c r="L28" i="102" l="1"/>
  <c r="E3" i="91" l="1"/>
  <c r="A16" i="35" l="1"/>
  <c r="A22" i="1" l="1"/>
  <c r="B16" i="35" l="1"/>
  <c r="L16" i="102"/>
  <c r="E16" i="102"/>
  <c r="O73" i="35" l="1"/>
  <c r="N73" i="35"/>
  <c r="B91" i="35"/>
  <c r="C64" i="1"/>
  <c r="C63" i="1"/>
  <c r="D80" i="1"/>
  <c r="C86" i="35" s="1"/>
  <c r="D54" i="91"/>
  <c r="D25" i="35"/>
  <c r="D26" i="35" s="1"/>
  <c r="C25" i="35"/>
  <c r="G10" i="91" l="1"/>
  <c r="G28" i="102" s="1"/>
  <c r="E28" i="102" s="1"/>
  <c r="C54" i="91"/>
  <c r="F10" i="91"/>
  <c r="G9" i="102" s="1"/>
  <c r="B54" i="91"/>
  <c r="B15" i="35"/>
  <c r="B25" i="102"/>
  <c r="A23" i="102"/>
  <c r="B47" i="1" s="1"/>
  <c r="B29" i="102"/>
  <c r="C29" i="102"/>
  <c r="D51" i="91"/>
  <c r="B51" i="91"/>
  <c r="C49" i="91"/>
  <c r="C48" i="91"/>
  <c r="C47" i="91"/>
  <c r="C46" i="91"/>
  <c r="A77" i="1"/>
  <c r="A78" i="1"/>
  <c r="A79" i="1"/>
  <c r="A76" i="1"/>
  <c r="D58" i="35"/>
  <c r="E55" i="35"/>
  <c r="E56" i="35"/>
  <c r="E57" i="35"/>
  <c r="E54" i="35"/>
  <c r="E22" i="104"/>
  <c r="D22" i="104"/>
  <c r="E21" i="104"/>
  <c r="D21" i="104"/>
  <c r="E20" i="104"/>
  <c r="D20" i="104"/>
  <c r="E19" i="104"/>
  <c r="D19" i="104"/>
  <c r="E14" i="104"/>
  <c r="D14" i="104"/>
  <c r="E13" i="104"/>
  <c r="D13" i="104"/>
  <c r="E12" i="104"/>
  <c r="D12" i="104"/>
  <c r="E11" i="104"/>
  <c r="D11" i="104"/>
  <c r="E6" i="104"/>
  <c r="D6" i="104"/>
  <c r="E5" i="104"/>
  <c r="D5" i="104"/>
  <c r="E4" i="104"/>
  <c r="D4" i="104"/>
  <c r="E3" i="104"/>
  <c r="D3" i="104"/>
  <c r="E3" i="103"/>
  <c r="E4" i="103"/>
  <c r="E5" i="103"/>
  <c r="E6" i="103"/>
  <c r="D4" i="103"/>
  <c r="D5" i="103"/>
  <c r="D6" i="103"/>
  <c r="D3" i="103"/>
  <c r="A5" i="91"/>
  <c r="A16" i="91" s="1"/>
  <c r="A26" i="91" s="1"/>
  <c r="A36" i="91" s="1"/>
  <c r="A46" i="91" s="1"/>
  <c r="A6" i="91"/>
  <c r="A17" i="91" s="1"/>
  <c r="A27" i="91" s="1"/>
  <c r="A37" i="91" s="1"/>
  <c r="A47" i="91" s="1"/>
  <c r="A7" i="91"/>
  <c r="A18" i="91" s="1"/>
  <c r="A28" i="91" s="1"/>
  <c r="A38" i="91" s="1"/>
  <c r="A48" i="91" s="1"/>
  <c r="A8" i="91"/>
  <c r="A19" i="91" s="1"/>
  <c r="A29" i="91" s="1"/>
  <c r="A39" i="91" s="1"/>
  <c r="A49" i="91" s="1"/>
  <c r="A4" i="91"/>
  <c r="A15" i="91" s="1"/>
  <c r="A25" i="91" s="1"/>
  <c r="A35" i="91" s="1"/>
  <c r="A45" i="91" s="1"/>
  <c r="C21" i="102"/>
  <c r="B21" i="102"/>
  <c r="D46" i="1" s="1"/>
  <c r="E20" i="102"/>
  <c r="E21" i="102" s="1"/>
  <c r="D20" i="102"/>
  <c r="D21" i="102" s="1"/>
  <c r="B3" i="102"/>
  <c r="C12" i="102"/>
  <c r="C19" i="102" s="1"/>
  <c r="C27" i="102" s="1"/>
  <c r="C31" i="102" s="1"/>
  <c r="D12" i="102"/>
  <c r="D19" i="102" s="1"/>
  <c r="D27" i="102" s="1"/>
  <c r="D31" i="102" s="1"/>
  <c r="E12" i="102"/>
  <c r="E19" i="102" s="1"/>
  <c r="E27" i="102" s="1"/>
  <c r="E31" i="102" s="1"/>
  <c r="B12" i="102"/>
  <c r="B19" i="102" s="1"/>
  <c r="B27" i="102" s="1"/>
  <c r="B31" i="102" s="1"/>
  <c r="A31" i="102"/>
  <c r="B49" i="1" s="1"/>
  <c r="A27" i="102"/>
  <c r="B48" i="1" s="1"/>
  <c r="A19" i="102"/>
  <c r="B46" i="1" s="1"/>
  <c r="E32" i="102" l="1"/>
  <c r="A23" i="1"/>
  <c r="B23" i="102"/>
  <c r="E23" i="102"/>
  <c r="D23" i="102"/>
  <c r="C23" i="102"/>
  <c r="C51" i="91"/>
  <c r="C48" i="108"/>
  <c r="B29" i="77" l="1"/>
  <c r="B24" i="77"/>
  <c r="B33" i="77" s="1"/>
  <c r="B39" i="77" s="1"/>
  <c r="E4" i="77"/>
  <c r="E3" i="77"/>
  <c r="E2" i="77"/>
  <c r="C58" i="35"/>
  <c r="D59" i="35" s="1"/>
  <c r="C78" i="1" l="1"/>
  <c r="D78" i="1" s="1"/>
  <c r="C79" i="1"/>
  <c r="C75" i="1"/>
  <c r="C73" i="1"/>
  <c r="C74" i="1"/>
  <c r="F69" i="1"/>
  <c r="C69" i="1" s="1"/>
  <c r="F70" i="1"/>
  <c r="C70" i="1" s="1"/>
  <c r="F71" i="1"/>
  <c r="C71" i="1" s="1"/>
  <c r="F68" i="1"/>
  <c r="C68" i="1" s="1"/>
  <c r="C38" i="1"/>
  <c r="C39" i="91"/>
  <c r="C38" i="91"/>
  <c r="C37" i="91"/>
  <c r="C36" i="91"/>
  <c r="D31" i="91"/>
  <c r="C28" i="91"/>
  <c r="C27" i="91"/>
  <c r="C26" i="91"/>
  <c r="B31" i="91"/>
  <c r="D21" i="91"/>
  <c r="B21" i="91"/>
  <c r="D41" i="91"/>
  <c r="B41" i="91"/>
  <c r="C18" i="1"/>
  <c r="C16" i="1"/>
  <c r="C17" i="1"/>
  <c r="C19" i="91"/>
  <c r="C18" i="91"/>
  <c r="C17" i="91"/>
  <c r="C16" i="91"/>
  <c r="C16" i="35" l="1"/>
  <c r="C21" i="1"/>
  <c r="C23" i="1"/>
  <c r="D23" i="1" s="1"/>
  <c r="C41" i="91"/>
  <c r="C21" i="91"/>
  <c r="C24" i="1"/>
  <c r="C22" i="1"/>
  <c r="D22" i="1" s="1"/>
  <c r="C77" i="1"/>
  <c r="D77" i="1" s="1"/>
  <c r="C72" i="1"/>
  <c r="C76" i="1"/>
  <c r="D76" i="1" s="1"/>
  <c r="C31" i="91"/>
  <c r="D79" i="1"/>
  <c r="B1" i="102"/>
  <c r="E15" i="102" s="1"/>
  <c r="C36" i="1"/>
  <c r="C37" i="1"/>
  <c r="E13" i="102" l="1"/>
  <c r="D56" i="1"/>
  <c r="C77" i="35" s="1"/>
  <c r="B40" i="77"/>
  <c r="C40" i="77" s="1"/>
  <c r="B38" i="77"/>
  <c r="F52" i="108"/>
  <c r="G52" i="108"/>
  <c r="F53" i="108"/>
  <c r="G53" i="108"/>
  <c r="F54" i="108"/>
  <c r="G54" i="108"/>
  <c r="F55" i="108"/>
  <c r="G55" i="108"/>
  <c r="D51" i="108"/>
  <c r="D22" i="108"/>
  <c r="D21" i="108"/>
  <c r="D20" i="108"/>
  <c r="D16" i="108"/>
  <c r="A59" i="108"/>
  <c r="A58" i="108"/>
  <c r="A57" i="108"/>
  <c r="A56" i="108"/>
  <c r="B30" i="108"/>
  <c r="B34" i="108" s="1"/>
  <c r="B29" i="108"/>
  <c r="B33" i="108" s="1"/>
  <c r="B28" i="108"/>
  <c r="B32" i="108" s="1"/>
  <c r="B10" i="108"/>
  <c r="A10" i="108"/>
  <c r="B9" i="108"/>
  <c r="A9" i="108"/>
  <c r="B8" i="108"/>
  <c r="A8" i="108"/>
  <c r="B7" i="108"/>
  <c r="A7" i="108"/>
  <c r="E16" i="108" l="1"/>
  <c r="A11" i="108"/>
  <c r="D39" i="108" l="1"/>
  <c r="D41" i="108"/>
  <c r="D40" i="108"/>
  <c r="B5" i="102" l="1"/>
  <c r="E58" i="35"/>
  <c r="C54" i="108"/>
  <c r="D42" i="108"/>
  <c r="E22" i="108"/>
  <c r="E17" i="108"/>
  <c r="A17" i="108"/>
  <c r="A55" i="108"/>
  <c r="A54" i="108"/>
  <c r="A53" i="108"/>
  <c r="A52" i="108"/>
  <c r="E8" i="102" l="1"/>
  <c r="L9" i="102"/>
  <c r="E9" i="102" s="1"/>
  <c r="E29" i="102"/>
  <c r="D48" i="1" s="1"/>
  <c r="D28" i="102"/>
  <c r="D29" i="102" s="1"/>
  <c r="C24" i="102"/>
  <c r="C25" i="102" s="1"/>
  <c r="D24" i="102"/>
  <c r="D25" i="102" s="1"/>
  <c r="E24" i="102"/>
  <c r="E25" i="102" s="1"/>
  <c r="C8" i="102"/>
  <c r="D33" i="102"/>
  <c r="D8" i="102"/>
  <c r="E33" i="102"/>
  <c r="D49" i="1" s="1"/>
  <c r="C55" i="108"/>
  <c r="D55" i="108" s="1"/>
  <c r="C52" i="108"/>
  <c r="D52" i="108" s="1"/>
  <c r="C53" i="108"/>
  <c r="D53" i="108" s="1"/>
  <c r="D54" i="108"/>
  <c r="A50" i="108"/>
  <c r="E20" i="108"/>
  <c r="E21" i="108"/>
  <c r="C33" i="1"/>
  <c r="D47" i="1" l="1"/>
  <c r="E10" i="102"/>
  <c r="D61" i="108"/>
  <c r="D64" i="108" s="1"/>
  <c r="D65" i="108" s="1"/>
  <c r="D66" i="108" s="1"/>
  <c r="E23" i="108"/>
  <c r="E25" i="108" s="1"/>
  <c r="A8" i="1" l="1"/>
  <c r="A9" i="1"/>
  <c r="A10" i="1"/>
  <c r="A7" i="1"/>
  <c r="A17" i="1" l="1"/>
  <c r="D34" i="108"/>
  <c r="D30" i="108"/>
  <c r="A18" i="1" l="1"/>
  <c r="D17" i="1"/>
  <c r="A24" i="1" l="1"/>
  <c r="D24" i="1" s="1"/>
  <c r="A19" i="1"/>
  <c r="D38" i="1" s="1"/>
  <c r="A21" i="1"/>
  <c r="A25" i="1" s="1"/>
  <c r="B17" i="102"/>
  <c r="D21" i="1" l="1"/>
  <c r="C85" i="1"/>
  <c r="C84" i="1"/>
  <c r="H9" i="106" l="1"/>
  <c r="J9" i="106" s="1"/>
  <c r="H8" i="106"/>
  <c r="J8" i="106" s="1"/>
  <c r="A73" i="1"/>
  <c r="A74" i="1"/>
  <c r="A75" i="1"/>
  <c r="A72" i="1"/>
  <c r="C67" i="1" l="1"/>
  <c r="A51" i="108"/>
  <c r="F25" i="35" l="1"/>
  <c r="C26" i="35"/>
  <c r="G25" i="35"/>
  <c r="B10" i="102"/>
  <c r="B45" i="1"/>
  <c r="B44" i="1"/>
  <c r="B9" i="1"/>
  <c r="F69" i="35" s="1"/>
  <c r="F75" i="35" s="1"/>
  <c r="B10" i="1"/>
  <c r="F70" i="35" s="1"/>
  <c r="F76" i="35" s="1"/>
  <c r="F82" i="35" l="1"/>
  <c r="M77" i="35"/>
  <c r="F81" i="35"/>
  <c r="M76" i="35"/>
  <c r="D60" i="35"/>
  <c r="A69" i="1"/>
  <c r="D69" i="1" s="1"/>
  <c r="A71" i="1"/>
  <c r="D71" i="1" s="1"/>
  <c r="D16" i="1" l="1"/>
  <c r="D74" i="1"/>
  <c r="D73" i="1"/>
  <c r="D72" i="1"/>
  <c r="D75" i="1"/>
  <c r="C84" i="35" l="1"/>
  <c r="D54" i="1"/>
  <c r="C75" i="35" s="1"/>
  <c r="D32" i="108" l="1"/>
  <c r="B32" i="77"/>
  <c r="B35" i="77" l="1"/>
  <c r="A70" i="1" l="1"/>
  <c r="D70" i="1" s="1"/>
  <c r="A68" i="1"/>
  <c r="B8" i="1"/>
  <c r="F68" i="35" s="1"/>
  <c r="F74" i="35" s="1"/>
  <c r="F80" i="35" l="1"/>
  <c r="M75" i="35"/>
  <c r="D67" i="1"/>
  <c r="C83" i="35" s="1"/>
  <c r="A67" i="1"/>
  <c r="A66" i="1"/>
  <c r="B7" i="1" l="1"/>
  <c r="F67" i="35" s="1"/>
  <c r="F73" i="35" s="1"/>
  <c r="F79" i="35" l="1"/>
  <c r="M74" i="35"/>
  <c r="A11" i="1"/>
  <c r="D55" i="1" l="1"/>
  <c r="D58" i="1" l="1"/>
  <c r="C76" i="35"/>
  <c r="D18" i="1"/>
  <c r="D26" i="1" l="1"/>
  <c r="C71" i="35" s="1"/>
  <c r="D31" i="1" l="1"/>
  <c r="D30" i="1"/>
  <c r="D29" i="1"/>
  <c r="D32" i="1"/>
  <c r="C10" i="102"/>
  <c r="D44" i="1" s="1"/>
  <c r="D10" i="102"/>
  <c r="D33" i="1" l="1"/>
  <c r="D33" i="108"/>
  <c r="D28" i="108"/>
  <c r="D29" i="108" l="1"/>
  <c r="D35" i="108" s="1"/>
  <c r="D43" i="108" s="1"/>
  <c r="D45" i="108" s="1"/>
  <c r="G10" i="108" l="1"/>
  <c r="G9" i="108"/>
  <c r="G8" i="108"/>
  <c r="D67" i="108"/>
  <c r="E67" i="108" s="1"/>
  <c r="G7" i="108"/>
  <c r="H10" i="108" l="1"/>
  <c r="C10" i="108" s="1"/>
  <c r="I10" i="108" l="1"/>
  <c r="J10" i="108" s="1"/>
  <c r="H9" i="108" s="1"/>
  <c r="C9" i="108" s="1"/>
  <c r="E9" i="108" s="1"/>
  <c r="E10" i="108"/>
  <c r="I65" i="108"/>
  <c r="D10" i="108"/>
  <c r="H8" i="108" l="1"/>
  <c r="C8" i="108" s="1"/>
  <c r="D8" i="108" s="1"/>
  <c r="H7" i="108"/>
  <c r="C7" i="108" s="1"/>
  <c r="E7" i="108" s="1"/>
  <c r="I64" i="108"/>
  <c r="D9" i="108"/>
  <c r="I63" i="108" l="1"/>
  <c r="E8" i="108"/>
  <c r="E11" i="108" s="1"/>
  <c r="I62" i="108"/>
  <c r="D7" i="108"/>
  <c r="I66" i="108" l="1"/>
  <c r="I67" i="108" s="1"/>
  <c r="D68" i="1" l="1"/>
  <c r="C85" i="35" s="1"/>
  <c r="C87" i="35" s="1"/>
  <c r="D81" i="1" l="1"/>
  <c r="D84" i="1" s="1"/>
  <c r="D85" i="1" l="1"/>
  <c r="D86" i="1" s="1"/>
  <c r="C89" i="35" l="1"/>
  <c r="B2" i="102" l="1"/>
  <c r="D15" i="102" s="1"/>
  <c r="D37" i="1"/>
  <c r="C68" i="35"/>
  <c r="D36" i="1"/>
  <c r="E14" i="102" l="1"/>
  <c r="E17" i="102" s="1"/>
  <c r="C15" i="102"/>
  <c r="C17" i="102" s="1"/>
  <c r="D45" i="1" s="1"/>
  <c r="D50" i="1" s="1"/>
  <c r="C74" i="35" s="1"/>
  <c r="D17" i="102"/>
  <c r="D39" i="1"/>
  <c r="C72" i="35" s="1"/>
  <c r="C73" i="35" s="1"/>
  <c r="D41" i="1" l="1"/>
  <c r="D59" i="1" s="1"/>
  <c r="C78" i="35" s="1"/>
  <c r="C79" i="35" s="1"/>
  <c r="C80" i="35" s="1"/>
  <c r="D61" i="1" l="1"/>
  <c r="G10" i="1" s="1"/>
  <c r="I9" i="1" s="1"/>
  <c r="G8" i="1" l="1"/>
  <c r="G7" i="1"/>
  <c r="J9" i="1"/>
  <c r="K9" i="1" s="1"/>
  <c r="H10" i="1"/>
  <c r="C10" i="1" s="1"/>
  <c r="I11" i="1" s="1"/>
  <c r="I10" i="1" s="1"/>
  <c r="D87" i="1"/>
  <c r="C91" i="35" s="1"/>
  <c r="G9" i="1"/>
  <c r="H7" i="1" l="1"/>
  <c r="C7" i="1" s="1"/>
  <c r="D7" i="1" s="1"/>
  <c r="H8" i="1"/>
  <c r="C8" i="1" s="1"/>
  <c r="D8" i="1" s="1"/>
  <c r="J10" i="1"/>
  <c r="H9" i="1"/>
  <c r="C9" i="1" s="1"/>
  <c r="D9" i="1" s="1"/>
  <c r="E87" i="1"/>
  <c r="C93" i="35" s="1"/>
  <c r="G70" i="35"/>
  <c r="H70" i="35" s="1"/>
  <c r="D10" i="1"/>
  <c r="E10" i="1"/>
  <c r="I85" i="1"/>
  <c r="G67" i="35" l="1"/>
  <c r="I82" i="1"/>
  <c r="E7" i="1"/>
  <c r="G68" i="35"/>
  <c r="E8" i="1"/>
  <c r="I83" i="1"/>
  <c r="G69" i="35"/>
  <c r="G82" i="35"/>
  <c r="H82" i="35" s="1"/>
  <c r="O77" i="35" s="1"/>
  <c r="I84" i="1"/>
  <c r="E9" i="1"/>
  <c r="I70" i="35"/>
  <c r="H76" i="35"/>
  <c r="N77" i="35" s="1"/>
  <c r="H69" i="35" l="1"/>
  <c r="I68" i="35"/>
  <c r="H68" i="35"/>
  <c r="I67" i="35"/>
  <c r="H67" i="35"/>
  <c r="I86" i="1"/>
  <c r="I87" i="1" s="1"/>
  <c r="G80" i="35"/>
  <c r="G79" i="35"/>
  <c r="E11" i="1"/>
  <c r="I69" i="35"/>
  <c r="C47" i="108" s="1"/>
  <c r="H57" i="108" s="1"/>
  <c r="C57" i="108" s="1"/>
  <c r="D57" i="108" s="1"/>
  <c r="G81" i="35"/>
  <c r="H75" i="35" l="1"/>
  <c r="N76" i="35" s="1"/>
  <c r="H74" i="35"/>
  <c r="N75" i="35" s="1"/>
  <c r="H73" i="35"/>
  <c r="N74" i="35" s="1"/>
  <c r="H79" i="35"/>
  <c r="O74" i="35" s="1"/>
  <c r="H80" i="35"/>
  <c r="O75" i="35" s="1"/>
  <c r="H81" i="35"/>
  <c r="O76" i="35" s="1"/>
  <c r="H59" i="108"/>
  <c r="C59" i="108" s="1"/>
  <c r="D59" i="108" s="1"/>
  <c r="H58" i="108"/>
  <c r="C58" i="108" s="1"/>
  <c r="D58" i="108" s="1"/>
  <c r="H56" i="108"/>
  <c r="C56" i="108" s="1"/>
  <c r="D56" i="108" s="1"/>
</calcChain>
</file>

<file path=xl/sharedStrings.xml><?xml version="1.0" encoding="utf-8"?>
<sst xmlns="http://schemas.openxmlformats.org/spreadsheetml/2006/main" count="510" uniqueCount="327">
  <si>
    <t>Infants</t>
  </si>
  <si>
    <t>Toddlers</t>
  </si>
  <si>
    <t>Preschoolers</t>
  </si>
  <si>
    <t>School age</t>
  </si>
  <si>
    <t>New Castle</t>
  </si>
  <si>
    <t>Licensing</t>
  </si>
  <si>
    <t>Point 2</t>
  </si>
  <si>
    <t>Point 3</t>
  </si>
  <si>
    <t>Point 4</t>
  </si>
  <si>
    <t>Aspirational</t>
  </si>
  <si>
    <t>Delaware Home-based Child Care Cost Model - 2024</t>
  </si>
  <si>
    <t>Preschool Promise</t>
  </si>
  <si>
    <t>Baby Promise</t>
  </si>
  <si>
    <t>EHS</t>
  </si>
  <si>
    <t>Program type</t>
  </si>
  <si>
    <t>Large Home</t>
  </si>
  <si>
    <t>Small Home</t>
  </si>
  <si>
    <t>ENROLLMENT</t>
  </si>
  <si>
    <t># of Children</t>
  </si>
  <si>
    <t>Age</t>
  </si>
  <si>
    <t>Total Children</t>
  </si>
  <si>
    <t>SALARY SCALE LEVELS</t>
  </si>
  <si>
    <t>enter %  at each level</t>
  </si>
  <si>
    <t>Director/Owner</t>
  </si>
  <si>
    <t>Teacher/ Assistant</t>
  </si>
  <si>
    <t>Current</t>
  </si>
  <si>
    <t>Entry</t>
  </si>
  <si>
    <t>Level 1</t>
  </si>
  <si>
    <t>Level 2</t>
  </si>
  <si>
    <t>Level 3</t>
  </si>
  <si>
    <t>Level 4</t>
  </si>
  <si>
    <t>Salary Override</t>
  </si>
  <si>
    <t>No</t>
  </si>
  <si>
    <t>Select yes to override salaries based on step levels, and 
manually enter salaries in table to right ---------------------------------&gt;</t>
  </si>
  <si>
    <t>Yes</t>
  </si>
  <si>
    <t>Position</t>
  </si>
  <si>
    <t>Annual Salary</t>
  </si>
  <si>
    <t>Quality Enhancements: Additional Cost Drivers</t>
  </si>
  <si>
    <t>Program Director/Owner</t>
  </si>
  <si>
    <t>Select level</t>
  </si>
  <si>
    <t>Lead Teacher</t>
  </si>
  <si>
    <t>Family Engagement</t>
  </si>
  <si>
    <t>Asst Teacher</t>
  </si>
  <si>
    <t>Meets Licensing Standards</t>
  </si>
  <si>
    <t>Professional Development Supports</t>
  </si>
  <si>
    <t>Curriculum Implementation Supports</t>
  </si>
  <si>
    <t>Educational Materials</t>
  </si>
  <si>
    <t>Inclusion Materials</t>
  </si>
  <si>
    <t>N/A</t>
  </si>
  <si>
    <t>Inclusion Supports Instructional Aide</t>
  </si>
  <si>
    <t>Non-traditional hours</t>
  </si>
  <si>
    <t>Enter number of non-traditional hours offered per week</t>
  </si>
  <si>
    <t>BENEFITS</t>
  </si>
  <si>
    <t>Health Insurance</t>
  </si>
  <si>
    <t>Select whether program offers health insurance to employees</t>
  </si>
  <si>
    <t>Sick Days</t>
  </si>
  <si>
    <t>enter annual number of days per staff member</t>
  </si>
  <si>
    <t>Paid Leave</t>
  </si>
  <si>
    <t>enter annual number of days per staff member, not including holidays where program is closed</t>
  </si>
  <si>
    <t xml:space="preserve">EFFICIENCY </t>
  </si>
  <si>
    <r>
      <t>Enrollment</t>
    </r>
    <r>
      <rPr>
        <i/>
        <sz val="10"/>
        <rFont val="Arial"/>
        <family val="2"/>
      </rPr>
      <t xml:space="preserve"> as % of total staffed capacity</t>
    </r>
  </si>
  <si>
    <t>85-95% is typical</t>
  </si>
  <si>
    <r>
      <t xml:space="preserve">Bad Debt </t>
    </r>
    <r>
      <rPr>
        <i/>
        <sz val="10"/>
        <rFont val="Arial"/>
        <family val="2"/>
      </rPr>
      <t>as % of revenue not collected</t>
    </r>
  </si>
  <si>
    <t>About 3% is typical</t>
  </si>
  <si>
    <t>REVENUE</t>
  </si>
  <si>
    <r>
      <t xml:space="preserve">Enter </t>
    </r>
    <r>
      <rPr>
        <b/>
        <i/>
        <sz val="10"/>
        <rFont val="Arial"/>
        <family val="2"/>
      </rPr>
      <t># of children</t>
    </r>
    <r>
      <rPr>
        <i/>
        <sz val="10"/>
        <rFont val="Arial"/>
        <family val="2"/>
      </rPr>
      <t xml:space="preserve"> by age receiving each type of subsidy using YELLOW cells only in the table below. Private Tuition cell will automatically calculated and should not be a negative </t>
    </r>
  </si>
  <si>
    <t>Child care subsidy (Purchase of Care)</t>
  </si>
  <si>
    <t>POC special needs</t>
  </si>
  <si>
    <t>Private Tuition</t>
  </si>
  <si>
    <t>Total</t>
  </si>
  <si>
    <t>Total across all public funding</t>
  </si>
  <si>
    <t>Percent subsidy</t>
  </si>
  <si>
    <t xml:space="preserve">Additional income </t>
  </si>
  <si>
    <t>e.g. grants, donations</t>
  </si>
  <si>
    <t>RESULTS - Program Level</t>
  </si>
  <si>
    <t>Results - Cost per Child (CPC)</t>
  </si>
  <si>
    <t>Annual</t>
  </si>
  <si>
    <t>Monthly</t>
  </si>
  <si>
    <t>Weekly</t>
  </si>
  <si>
    <t>Total Staff</t>
  </si>
  <si>
    <t>EXPENSES</t>
  </si>
  <si>
    <t>Kent</t>
  </si>
  <si>
    <t>Sussex</t>
  </si>
  <si>
    <t>Wages</t>
  </si>
  <si>
    <t>Benefits</t>
  </si>
  <si>
    <t>Current Subsidy Rates</t>
  </si>
  <si>
    <t>Gap - subsidy and cost</t>
  </si>
  <si>
    <t>Total Personnel</t>
  </si>
  <si>
    <t>Select County below:</t>
  </si>
  <si>
    <t>Quality Variables</t>
  </si>
  <si>
    <t>Admin/Office</t>
  </si>
  <si>
    <t>Program related expenses</t>
  </si>
  <si>
    <t>Occupancy</t>
  </si>
  <si>
    <t>Operating Reserve</t>
  </si>
  <si>
    <t>75th percentile current market price</t>
  </si>
  <si>
    <t>Gap - price and cost</t>
  </si>
  <si>
    <t>Total Nonpersonnel</t>
  </si>
  <si>
    <t>TOTAL EXPENSE</t>
  </si>
  <si>
    <t>INCOME</t>
  </si>
  <si>
    <t>CACFP</t>
  </si>
  <si>
    <t>POC</t>
  </si>
  <si>
    <t>Tuition</t>
  </si>
  <si>
    <t>Other income</t>
  </si>
  <si>
    <t>TOTAL INCOME</t>
  </si>
  <si>
    <t>Adjustment for bad debt and enrolment efficiency</t>
  </si>
  <si>
    <t>Percent of expenses</t>
  </si>
  <si>
    <t>PRO-FORMA BUDGET:  Delaware Child Care Home</t>
  </si>
  <si>
    <t>Items in yellow shaded cells may be changed to model different scenarios</t>
  </si>
  <si>
    <t>user can change these cells</t>
  </si>
  <si>
    <t>DO NOT CHANGE OTHER CELLS</t>
  </si>
  <si>
    <t>these cells have data from the Variables sheet. DO NOT change here.</t>
  </si>
  <si>
    <t>Family Child Care Home Profile</t>
  </si>
  <si>
    <t>TOTAL Children</t>
  </si>
  <si>
    <t>Annual cost per child</t>
  </si>
  <si>
    <t>Cost per age group</t>
  </si>
  <si>
    <t>100% CPC</t>
  </si>
  <si>
    <t>SA Reallocation</t>
  </si>
  <si>
    <t>Coverage</t>
  </si>
  <si>
    <t>Salaries and Wages</t>
  </si>
  <si>
    <t>TOTAL</t>
  </si>
  <si>
    <t>Provider/Teacher</t>
  </si>
  <si>
    <t>Teacher - infants</t>
  </si>
  <si>
    <t>Asst Teacher - program size</t>
  </si>
  <si>
    <t>Hourly Subs</t>
  </si>
  <si>
    <t>Floater/Sub (coverage)</t>
  </si>
  <si>
    <t>Non-traditioal hours</t>
  </si>
  <si>
    <t>Instructional Support Staff</t>
  </si>
  <si>
    <t>Floater/Sub (PD)</t>
  </si>
  <si>
    <t>Total floater/sub hours</t>
  </si>
  <si>
    <t>Subtotal Salary and Wages</t>
  </si>
  <si>
    <t>Mandatory benefits for salaried staff</t>
  </si>
  <si>
    <t xml:space="preserve">FICA-Social Security </t>
  </si>
  <si>
    <t>Medicare</t>
  </si>
  <si>
    <t xml:space="preserve">Unemployment Insurance </t>
  </si>
  <si>
    <t>Workers Compensation</t>
  </si>
  <si>
    <t>Subtotal Mandatory Benefits</t>
  </si>
  <si>
    <t>Discretionary benefits</t>
  </si>
  <si>
    <t>per person</t>
  </si>
  <si>
    <t>Sick Leave</t>
  </si>
  <si>
    <t>Paid leave</t>
  </si>
  <si>
    <t>2023 average employer contribution to employer-based health insurance:  https://www.kff.org/other/state-indicator/single-coverage/?currentTimeframe=0&amp;sortModel=%7B%22colId%22:%22Location%22,%22sort%22:%22asc%22%7D      https://www.kff.org/other/state-indicator/single-coverage/?currentTimeframe=0&amp;sortModel=%7B%22colId%22:%22Location%22,%22sort%22:%22asc%22%7D</t>
  </si>
  <si>
    <t>Discretionary Benefits</t>
  </si>
  <si>
    <t>Subtotal Wages and Benefits</t>
  </si>
  <si>
    <t>QUALITY VARIABLES - Infant and Toddler</t>
  </si>
  <si>
    <t>Subtotal quality variables</t>
  </si>
  <si>
    <t>Other Direct Expense: 100% Business Use (reported on IRS Schedule C)</t>
  </si>
  <si>
    <r>
      <t xml:space="preserve">For details, see </t>
    </r>
    <r>
      <rPr>
        <i/>
        <sz val="10"/>
        <rFont val="Arial"/>
        <family val="2"/>
      </rPr>
      <t>Operating Expense Direct &amp; Shared</t>
    </r>
  </si>
  <si>
    <t xml:space="preserve">   Nonpersonnel: Admin/Office</t>
  </si>
  <si>
    <t xml:space="preserve">   Nonpersonnel: Program (calculated per child)</t>
  </si>
  <si>
    <t>School age transportation</t>
  </si>
  <si>
    <t>Subtotal Other Expenses</t>
  </si>
  <si>
    <t>Contribution to operating reserve fund</t>
  </si>
  <si>
    <t>of expenses</t>
  </si>
  <si>
    <t>Total Expense</t>
  </si>
  <si>
    <t>POC Rate Region</t>
  </si>
  <si>
    <t>[Set these values on INPUT-FCC page]</t>
  </si>
  <si>
    <t>Urban</t>
  </si>
  <si>
    <t>Suburban</t>
  </si>
  <si>
    <t>Rural</t>
  </si>
  <si>
    <t>Tuition Cluster</t>
  </si>
  <si>
    <t>Statewide</t>
  </si>
  <si>
    <t>Cluster 1</t>
  </si>
  <si>
    <t>Cluster 2</t>
  </si>
  <si>
    <t>Cluster 3</t>
  </si>
  <si>
    <t>Cluster 4</t>
  </si>
  <si>
    <t># children</t>
  </si>
  <si>
    <t xml:space="preserve"> annual rate</t>
  </si>
  <si>
    <t>CACFP (all ages)</t>
  </si>
  <si>
    <t>Private Tuition (infants)</t>
  </si>
  <si>
    <t>Private Tuition (toddlers)</t>
  </si>
  <si>
    <t>Private Tuition (preschoolers)</t>
  </si>
  <si>
    <t>Private Tuition (school age)</t>
  </si>
  <si>
    <t>POC subsidy (infants)</t>
  </si>
  <si>
    <t>POC subsidy (toddlers)</t>
  </si>
  <si>
    <t>POC subsidy (preschoolers)</t>
  </si>
  <si>
    <t>POC subsidy (school age)</t>
  </si>
  <si>
    <t>part time rate</t>
  </si>
  <si>
    <t>Special Needs POC subsidy (infants)</t>
  </si>
  <si>
    <t>Special Needs POC subsidy (toddlers)</t>
  </si>
  <si>
    <t>Special Needs POC subsidy (preschoolers)</t>
  </si>
  <si>
    <t>Special Needs POC subsidy (school age)</t>
  </si>
  <si>
    <t>Other income (grants, fundraising, etc.)</t>
  </si>
  <si>
    <t xml:space="preserve">= Potential Total Revenue </t>
  </si>
  <si>
    <t>CPC check</t>
  </si>
  <si>
    <t>infants</t>
  </si>
  <si>
    <t>Adjustments to revenue</t>
  </si>
  <si>
    <t>toddlers</t>
  </si>
  <si>
    <t>Bad debt</t>
  </si>
  <si>
    <t>preschoolers</t>
  </si>
  <si>
    <t>Enrollment efficiency (average)</t>
  </si>
  <si>
    <t>= Actual Total Revenue</t>
  </si>
  <si>
    <t>Annual Revenue less Expenses profit/(loss)</t>
  </si>
  <si>
    <t>PRO-FORMA BUDGET:  Oregon Child Care Center</t>
  </si>
  <si>
    <t>based on minimum wage, 2080 hours</t>
  </si>
  <si>
    <t xml:space="preserve">2019 average employer contribution to employer-based health insurance:   https://www.kff.org/other/state-indicator/single-coverage/?currentTimeframe=0&amp;sortModel=%7B%22colId%22:%22Location%22,%22sort%22:%22asc%22%7D </t>
  </si>
  <si>
    <t>QUALITY VARIABLES - Preschool</t>
  </si>
  <si>
    <t>Other Direct Expense</t>
  </si>
  <si>
    <t>based on data collection</t>
  </si>
  <si>
    <t xml:space="preserve">   Nonpersonnel: Program</t>
  </si>
  <si>
    <t>ERDC Rate Region</t>
  </si>
  <si>
    <t>Certified</t>
  </si>
  <si>
    <t>Registered</t>
  </si>
  <si>
    <t>License-exempt</t>
  </si>
  <si>
    <t>ERDC subsidy (infants)</t>
  </si>
  <si>
    <t>ERDC subsidy (toddlers)</t>
  </si>
  <si>
    <t>ERDC subsidy (preschoolers)</t>
  </si>
  <si>
    <t>ERDC subsidy (school age)</t>
  </si>
  <si>
    <t>Floater/Sub Rate/Hour</t>
  </si>
  <si>
    <t>Teachers</t>
  </si>
  <si>
    <t>Children</t>
  </si>
  <si>
    <t>2 conferences annually</t>
  </si>
  <si>
    <t>2 hour per child, paid at hourly wage of floater/sub, twice per year</t>
  </si>
  <si>
    <t>Family Engagement Specialist 1/44 children</t>
  </si>
  <si>
    <t>annual salary, 1 for every 46 children</t>
  </si>
  <si>
    <t xml:space="preserve">PD hours, director/owner per year </t>
  </si>
  <si>
    <t>coverage paid at floater/sub rate</t>
  </si>
  <si>
    <t xml:space="preserve">PD hours, teacher/assistant per year </t>
  </si>
  <si>
    <t>Release Time</t>
  </si>
  <si>
    <t>Coach</t>
  </si>
  <si>
    <t>.25 FTE 46 center enrollment, .5 FTE if &lt;64 children, over 94 children, FT</t>
  </si>
  <si>
    <t>150/hour</t>
  </si>
  <si>
    <t>Materials</t>
  </si>
  <si>
    <t>$250 per kid on IEP</t>
  </si>
  <si>
    <t>Category</t>
  </si>
  <si>
    <t>PCQC - FCC</t>
  </si>
  <si>
    <t>Program expenses</t>
  </si>
  <si>
    <t>advertising</t>
  </si>
  <si>
    <t>Vehicle/other</t>
  </si>
  <si>
    <t>vehicle expense</t>
  </si>
  <si>
    <t>depreciation</t>
  </si>
  <si>
    <t>insurance</t>
  </si>
  <si>
    <t>interest on biz debt</t>
  </si>
  <si>
    <t>legal &amp; Prof fees</t>
  </si>
  <si>
    <t>Office supplie</t>
  </si>
  <si>
    <t>Repairs/Maint</t>
  </si>
  <si>
    <t>Supplies</t>
  </si>
  <si>
    <t>Food</t>
  </si>
  <si>
    <t>Telephone</t>
  </si>
  <si>
    <t>Training/PD</t>
  </si>
  <si>
    <t>Prof Member</t>
  </si>
  <si>
    <t>License/permits</t>
  </si>
  <si>
    <t>Mortgage/Rent</t>
  </si>
  <si>
    <t>Insurance</t>
  </si>
  <si>
    <t>Home Repairs/Maint</t>
  </si>
  <si>
    <t>Utilities</t>
  </si>
  <si>
    <t>Household supplies</t>
  </si>
  <si>
    <t>Hours worked</t>
  </si>
  <si>
    <t>Space in home</t>
  </si>
  <si>
    <t>Total space</t>
  </si>
  <si>
    <t>Time-Space Percent</t>
  </si>
  <si>
    <t>Total 100% Biz</t>
  </si>
  <si>
    <t>Shared expense</t>
  </si>
  <si>
    <t>Administration</t>
  </si>
  <si>
    <t>Education Program</t>
  </si>
  <si>
    <t xml:space="preserve">Use in FCC R&amp;E </t>
  </si>
  <si>
    <t xml:space="preserve">New </t>
  </si>
  <si>
    <t>Additional Annual Expense</t>
  </si>
  <si>
    <t>Child Assessment Tool</t>
  </si>
  <si>
    <t xml:space="preserve">not included </t>
  </si>
  <si>
    <t>Developmental Screening Tool</t>
  </si>
  <si>
    <t>Salary scale</t>
  </si>
  <si>
    <t>Owner/Director</t>
  </si>
  <si>
    <t>Minimum wage</t>
  </si>
  <si>
    <t>Weighted Avg based on Input</t>
  </si>
  <si>
    <t>Family, Large Family, Relateive Care</t>
  </si>
  <si>
    <t>Daily</t>
  </si>
  <si>
    <t>Special need</t>
  </si>
  <si>
    <t>0-12months</t>
  </si>
  <si>
    <t>1-2 years</t>
  </si>
  <si>
    <t>2-5 years</t>
  </si>
  <si>
    <t>Infant</t>
  </si>
  <si>
    <t>Toddler</t>
  </si>
  <si>
    <t>Preschool</t>
  </si>
  <si>
    <t>https://www.dhss.delaware.gov/dhss/dss/childcr.html</t>
  </si>
  <si>
    <t>School age*</t>
  </si>
  <si>
    <t>*Part-time rate</t>
  </si>
  <si>
    <t xml:space="preserve">Updated to 2024 Rates </t>
  </si>
  <si>
    <t>https://dhss.delaware.gov/dhss/dss/files/2024DelawareChildCareMarketRateSurvey.pdf</t>
  </si>
  <si>
    <t>CHILD AND ADULT CARE FOOD PROGRAM (CACFP)</t>
  </si>
  <si>
    <t>UPDATED</t>
  </si>
  <si>
    <t>Per Meal Rates in Whole or Fractions of U.S. Dollars</t>
  </si>
  <si>
    <t>Effective from July 1, 2024 - June 30, 2025</t>
  </si>
  <si>
    <t>Centers</t>
  </si>
  <si>
    <t>DO NOT ALTER = used in formulas on other spreadsheets</t>
  </si>
  <si>
    <t>https://www.fns.usda.gov/cacfp/fr-071024</t>
  </si>
  <si>
    <t>Homes</t>
  </si>
  <si>
    <t>1 breakfast,1  lunch or dinner and 2 snacks</t>
  </si>
  <si>
    <t>Breakfast</t>
  </si>
  <si>
    <t>Lunch /Supper</t>
  </si>
  <si>
    <t>Snack</t>
  </si>
  <si>
    <t xml:space="preserve">Daily </t>
  </si>
  <si>
    <t>weekly</t>
  </si>
  <si>
    <t>&lt;185% FPL</t>
  </si>
  <si>
    <t>Tier I</t>
  </si>
  <si>
    <t>Tier II</t>
  </si>
  <si>
    <t xml:space="preserve">Source:  </t>
  </si>
  <si>
    <t>https://www.federalregister.gov/documents/2021/07/07/2021-14435/child-and-adult-care-food-program-national-average-payment-rates-day-care-home-food-service-payment</t>
  </si>
  <si>
    <t>rates</t>
  </si>
  <si>
    <t>homes</t>
  </si>
  <si>
    <t>NOTE:</t>
  </si>
  <si>
    <t>Tier I day care homes are those that are located in low-income areas, or those in which the provider’s household income is at or below 185 percent of the Federal income poverty guidelines.  Sponsoring organizations may use elementary school free and reduced price enrollment data or census block group data to determine which areas are low-income.</t>
  </si>
  <si>
    <r>
      <t xml:space="preserve">Tier II homes are those family day care homes which do not meet the location or provider income criteria for a tier I home.  </t>
    </r>
    <r>
      <rPr>
        <b/>
        <i/>
        <sz val="10"/>
        <rFont val="Arial"/>
        <family val="2"/>
      </rPr>
      <t>The provider in a tier II home may elect to have the sponsoring organization identify income-eligible children, so that meals served to those children who qualify for free and reduced price meals would be reimbursed at the higher tier I rates</t>
    </r>
    <r>
      <rPr>
        <i/>
        <sz val="10"/>
        <rFont val="Arial"/>
        <family val="2"/>
      </rPr>
      <t>.</t>
    </r>
  </si>
  <si>
    <t>A child’s eligibility for tier I rates in a tier II day care home may be documented through submission of an income eligibility statement which details family size and income or participation in any of a number of means-tested State or Federal programs with eligibility at or below 185 percent of poverty.</t>
  </si>
  <si>
    <t>health consultant</t>
  </si>
  <si>
    <t>Fam engage</t>
  </si>
  <si>
    <t>Updated with 2024 rates</t>
  </si>
  <si>
    <t>Special Need</t>
  </si>
  <si>
    <t>2 conferences/year</t>
  </si>
  <si>
    <t>3 conferences/year</t>
  </si>
  <si>
    <t>4 conf/year + FamEngage Spec</t>
  </si>
  <si>
    <t>2 hrs./wk. release time (lead teacher)</t>
  </si>
  <si>
    <t>1 hr./day release time (all teachers)</t>
  </si>
  <si>
    <t>40 hours PD + 7 hrs./week release time + Coaching support</t>
  </si>
  <si>
    <t>3 hrs./week curriculum support</t>
  </si>
  <si>
    <t>5 hrs./week curriculum support</t>
  </si>
  <si>
    <t>Additional $50/yr./child</t>
  </si>
  <si>
    <t>Additional $75/yr./child</t>
  </si>
  <si>
    <t>Health consultant support (5 hrs./classroom/month)</t>
  </si>
  <si>
    <t>Health consultant support (16 hrs./classroom/month)</t>
  </si>
  <si>
    <t>$250/year inclusion materials</t>
  </si>
  <si>
    <t>Additional $100/yr./child</t>
  </si>
  <si>
    <t>(enter number of children on IEP/IFSP)</t>
  </si>
  <si>
    <r>
      <t xml:space="preserve">Items in </t>
    </r>
    <r>
      <rPr>
        <b/>
        <sz val="11"/>
        <rFont val="Arial"/>
        <family val="2"/>
      </rPr>
      <t>YELLOW</t>
    </r>
    <r>
      <rPr>
        <b/>
        <sz val="11"/>
        <color theme="1"/>
        <rFont val="Arial"/>
        <family val="2"/>
      </rPr>
      <t xml:space="preserve"> shaded cells are for INPUT to model different home 'profiles'.</t>
    </r>
  </si>
  <si>
    <t xml:space="preserve">Items in GREEN shaded cells are for INPUT to model different quality variables.. </t>
  </si>
  <si>
    <t>Model developed by Prenatal to Five Fiscal Strategies,  2024. www.prenatal5fiscal.org</t>
  </si>
  <si>
    <t>chose enhancement and level by the drop downs</t>
  </si>
  <si>
    <t>Comprehensive Health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</si>
</sst>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_);_(&quot;$&quot;* \(#,##0\);_(&quot;$&quot;* &quot;-&quot;??_);_(@_)"/>
    <numFmt numFmtId="168" formatCode="&quot;$&quot;#,##0;[Red]&quot;$&quot;#,##0"/>
    <numFmt numFmtId="169" formatCode="0.0%"/>
    <numFmt numFmtId="170" formatCode="_(* #,##0_);_(* \(#,##0\);_(* &quot;-&quot;??_);_(@_)"/>
    <numFmt numFmtId="171" formatCode="\$#,##0.00_-"/>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u/>
      <sz val="10"/>
      <name val="Arial"/>
      <family val="2"/>
    </font>
    <font>
      <b/>
      <i/>
      <sz val="10"/>
      <name val="Arial"/>
      <family val="2"/>
    </font>
    <font>
      <sz val="10"/>
      <name val="Arial"/>
      <family val="2"/>
    </font>
    <font>
      <sz val="10"/>
      <color rgb="FFFF0000"/>
      <name val="Arial"/>
      <family val="2"/>
    </font>
    <font>
      <b/>
      <u/>
      <sz val="10"/>
      <name val="Arial"/>
      <family val="2"/>
    </font>
    <font>
      <sz val="10"/>
      <color theme="1"/>
      <name val="Arial"/>
      <family val="2"/>
    </font>
    <font>
      <b/>
      <sz val="11"/>
      <color theme="1"/>
      <name val="Arial"/>
      <family val="2"/>
    </font>
    <font>
      <sz val="10"/>
      <color rgb="FF000000"/>
      <name val="Times New Roman"/>
      <family val="1"/>
    </font>
    <font>
      <i/>
      <sz val="10"/>
      <color theme="1"/>
      <name val="Arial"/>
      <family val="2"/>
    </font>
    <font>
      <b/>
      <i/>
      <sz val="14"/>
      <name val="Arial"/>
      <family val="2"/>
    </font>
    <font>
      <b/>
      <u/>
      <sz val="11"/>
      <name val="Arial"/>
      <family val="2"/>
    </font>
    <font>
      <sz val="10"/>
      <color theme="0"/>
      <name val="Arial"/>
      <family val="2"/>
    </font>
    <font>
      <b/>
      <i/>
      <sz val="10"/>
      <color theme="0"/>
      <name val="Arial"/>
      <family val="2"/>
    </font>
    <font>
      <i/>
      <sz val="10"/>
      <color theme="0"/>
      <name val="Arial"/>
      <family val="2"/>
    </font>
    <font>
      <b/>
      <sz val="11"/>
      <name val="Arial"/>
      <family val="2"/>
    </font>
    <font>
      <b/>
      <sz val="10"/>
      <color theme="0"/>
      <name val="Arial"/>
      <family val="2"/>
    </font>
    <font>
      <b/>
      <sz val="10"/>
      <color rgb="FFFF0000"/>
      <name val="Arial"/>
      <family val="2"/>
    </font>
    <font>
      <b/>
      <sz val="10"/>
      <color theme="1"/>
      <name val="Arial"/>
      <family val="2"/>
    </font>
    <font>
      <b/>
      <i/>
      <sz val="12"/>
      <color theme="1"/>
      <name val="Arial"/>
      <family val="2"/>
    </font>
    <font>
      <b/>
      <i/>
      <sz val="10"/>
      <color theme="1"/>
      <name val="Arial"/>
      <family val="2"/>
    </font>
    <font>
      <b/>
      <sz val="12"/>
      <name val="Arial"/>
      <family val="2"/>
    </font>
    <font>
      <i/>
      <sz val="11"/>
      <color rgb="FFFF0000"/>
      <name val="Calibri"/>
      <family val="2"/>
      <scheme val="minor"/>
    </font>
    <font>
      <b/>
      <sz val="12"/>
      <color theme="1"/>
      <name val="Arial"/>
      <family val="2"/>
    </font>
    <font>
      <sz val="10"/>
      <color theme="0" tint="-0.249977111117893"/>
      <name val="Arial"/>
      <family val="2"/>
    </font>
    <font>
      <sz val="14"/>
      <color theme="0" tint="-0.249977111117893"/>
      <name val="Arial"/>
      <family val="2"/>
    </font>
    <font>
      <sz val="10"/>
      <color rgb="FF484848"/>
      <name val="Arial"/>
      <family val="2"/>
    </font>
    <font>
      <b/>
      <i/>
      <sz val="10"/>
      <color rgb="FFFF0000"/>
      <name val="Arial"/>
      <family val="2"/>
    </font>
    <font>
      <i/>
      <sz val="10"/>
      <color theme="5"/>
      <name val="Arial"/>
      <family val="2"/>
    </font>
    <font>
      <i/>
      <sz val="10"/>
      <color theme="0" tint="-0.499984740745262"/>
      <name val="Arial"/>
      <family val="2"/>
    </font>
    <font>
      <sz val="11"/>
      <name val="Arial"/>
      <family val="2"/>
    </font>
    <font>
      <i/>
      <sz val="11"/>
      <name val="Arial"/>
      <family val="2"/>
    </font>
    <font>
      <sz val="12"/>
      <color rgb="FF000000"/>
      <name val="Calibri"/>
      <family val="2"/>
    </font>
    <font>
      <sz val="12"/>
      <color rgb="FF000000"/>
      <name val="Times New Roman"/>
      <family val="1"/>
    </font>
    <font>
      <sz val="10"/>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CC"/>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indexed="4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DE9D9"/>
        <bgColor rgb="FF000000"/>
      </patternFill>
    </fill>
    <fill>
      <patternFill patternType="solid">
        <fgColor rgb="FFFFFF00"/>
        <bgColor rgb="FF000000"/>
      </patternFill>
    </fill>
    <fill>
      <patternFill patternType="solid">
        <fgColor theme="7"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theme="0" tint="-0.499984740745262"/>
      </top>
      <bottom style="thin">
        <color theme="0" tint="-0.499984740745262"/>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68">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4" fontId="7"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7" fillId="23" borderId="7" applyNumberFormat="0" applyFont="0" applyAlignment="0" applyProtection="0"/>
    <xf numFmtId="0" fontId="26" fillId="20"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7" fillId="0" borderId="0" applyFont="0" applyFill="0" applyBorder="0" applyAlignment="0" applyProtection="0"/>
    <xf numFmtId="0" fontId="33" fillId="0" borderId="0"/>
    <xf numFmtId="9" fontId="33"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5" fillId="0" borderId="0"/>
    <xf numFmtId="44" fontId="25" fillId="0" borderId="0" applyFont="0" applyFill="0" applyBorder="0" applyAlignment="0" applyProtection="0"/>
    <xf numFmtId="43" fontId="7" fillId="0" borderId="0" applyFont="0" applyFill="0" applyBorder="0" applyAlignment="0" applyProtection="0"/>
    <xf numFmtId="0" fontId="2" fillId="0" borderId="0"/>
    <xf numFmtId="44" fontId="11" fillId="0" borderId="0" applyFont="0" applyFill="0" applyBorder="0" applyAlignment="0" applyProtection="0"/>
    <xf numFmtId="0" fontId="1" fillId="0" borderId="0"/>
    <xf numFmtId="43" fontId="1" fillId="0" borderId="0" applyFont="0" applyFill="0" applyBorder="0" applyAlignment="0" applyProtection="0"/>
    <xf numFmtId="0" fontId="38"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0" fontId="7" fillId="0" borderId="0"/>
  </cellStyleXfs>
  <cellXfs count="500">
    <xf numFmtId="0" fontId="0" fillId="0" borderId="0" xfId="0"/>
    <xf numFmtId="0" fontId="9" fillId="0" borderId="0" xfId="0" applyFont="1"/>
    <xf numFmtId="0" fontId="10" fillId="0" borderId="0" xfId="0" applyFont="1"/>
    <xf numFmtId="0" fontId="0" fillId="0" borderId="0" xfId="0" applyAlignment="1">
      <alignment horizontal="left"/>
    </xf>
    <xf numFmtId="6" fontId="0" fillId="0" borderId="0" xfId="0" applyNumberFormat="1"/>
    <xf numFmtId="6" fontId="7" fillId="0" borderId="0" xfId="0" applyNumberFormat="1" applyFont="1"/>
    <xf numFmtId="6" fontId="9" fillId="0" borderId="0" xfId="0" applyNumberFormat="1" applyFont="1"/>
    <xf numFmtId="2" fontId="9" fillId="0" borderId="0" xfId="0" applyNumberFormat="1" applyFont="1"/>
    <xf numFmtId="8" fontId="0" fillId="0" borderId="0" xfId="0" applyNumberFormat="1"/>
    <xf numFmtId="0" fontId="9" fillId="0" borderId="0" xfId="0" applyFont="1" applyAlignment="1">
      <alignment horizontal="right"/>
    </xf>
    <xf numFmtId="0" fontId="21" fillId="0" borderId="0" xfId="35" applyAlignment="1" applyProtection="1"/>
    <xf numFmtId="0" fontId="9" fillId="25" borderId="0" xfId="0" applyFont="1" applyFill="1"/>
    <xf numFmtId="20" fontId="0" fillId="0" borderId="0" xfId="0" quotePrefix="1" applyNumberFormat="1" applyAlignment="1">
      <alignment horizontal="right"/>
    </xf>
    <xf numFmtId="0" fontId="34" fillId="0" borderId="0" xfId="0" applyFont="1"/>
    <xf numFmtId="0" fontId="7" fillId="0" borderId="0" xfId="0" applyFont="1"/>
    <xf numFmtId="0" fontId="7" fillId="0" borderId="0" xfId="0" quotePrefix="1" applyFont="1"/>
    <xf numFmtId="165" fontId="7" fillId="0" borderId="0" xfId="0" applyNumberFormat="1" applyFont="1"/>
    <xf numFmtId="0" fontId="7" fillId="0" borderId="0" xfId="0" applyFont="1" applyAlignment="1">
      <alignment horizontal="right"/>
    </xf>
    <xf numFmtId="8" fontId="7" fillId="0" borderId="0" xfId="0" applyNumberFormat="1" applyFont="1"/>
    <xf numFmtId="20" fontId="7" fillId="0" borderId="0" xfId="0" quotePrefix="1" applyNumberFormat="1" applyFont="1" applyAlignment="1">
      <alignment horizontal="right"/>
    </xf>
    <xf numFmtId="0" fontId="7" fillId="0" borderId="0" xfId="0" applyFont="1" applyAlignment="1">
      <alignment horizontal="left"/>
    </xf>
    <xf numFmtId="44" fontId="0" fillId="0" borderId="0" xfId="0" applyNumberFormat="1"/>
    <xf numFmtId="0" fontId="0" fillId="0" borderId="18" xfId="0" applyBorder="1"/>
    <xf numFmtId="0" fontId="7" fillId="0" borderId="18" xfId="0" applyFont="1" applyBorder="1"/>
    <xf numFmtId="0" fontId="0" fillId="0" borderId="12" xfId="0" applyBorder="1"/>
    <xf numFmtId="0" fontId="9" fillId="0" borderId="0" xfId="0" applyFont="1" applyAlignment="1">
      <alignment horizontal="center" wrapText="1"/>
    </xf>
    <xf numFmtId="0" fontId="9" fillId="0" borderId="12" xfId="0" applyFont="1" applyBorder="1"/>
    <xf numFmtId="165" fontId="9" fillId="0" borderId="12" xfId="0" applyNumberFormat="1" applyFont="1" applyBorder="1"/>
    <xf numFmtId="0" fontId="7" fillId="28" borderId="28" xfId="0" applyFont="1" applyFill="1" applyBorder="1" applyAlignment="1">
      <alignment horizontal="right"/>
    </xf>
    <xf numFmtId="165" fontId="7" fillId="28" borderId="29" xfId="0" applyNumberFormat="1" applyFont="1" applyFill="1" applyBorder="1"/>
    <xf numFmtId="0" fontId="7" fillId="28" borderId="30" xfId="0" applyFont="1" applyFill="1" applyBorder="1" applyAlignment="1">
      <alignment horizontal="right"/>
    </xf>
    <xf numFmtId="165" fontId="0" fillId="28" borderId="31" xfId="0" applyNumberFormat="1" applyFill="1" applyBorder="1"/>
    <xf numFmtId="165" fontId="7" fillId="28" borderId="31" xfId="0" applyNumberFormat="1" applyFont="1" applyFill="1" applyBorder="1"/>
    <xf numFmtId="0" fontId="7" fillId="28" borderId="32" xfId="0" applyFont="1" applyFill="1" applyBorder="1" applyAlignment="1">
      <alignment horizontal="right"/>
    </xf>
    <xf numFmtId="0" fontId="35" fillId="28" borderId="33" xfId="0" applyFont="1" applyFill="1" applyBorder="1"/>
    <xf numFmtId="0" fontId="10" fillId="0" borderId="0" xfId="0" applyFont="1" applyAlignment="1">
      <alignment horizontal="right"/>
    </xf>
    <xf numFmtId="166" fontId="7" fillId="0" borderId="0" xfId="0" applyNumberFormat="1" applyFont="1" applyAlignment="1">
      <alignment horizontal="right"/>
    </xf>
    <xf numFmtId="0" fontId="8" fillId="0" borderId="0" xfId="0" applyFont="1"/>
    <xf numFmtId="10" fontId="7" fillId="0" borderId="0" xfId="0" applyNumberFormat="1" applyFont="1"/>
    <xf numFmtId="0" fontId="0" fillId="0" borderId="21" xfId="0" applyBorder="1"/>
    <xf numFmtId="9" fontId="7" fillId="0" borderId="0" xfId="0" applyNumberFormat="1" applyFont="1"/>
    <xf numFmtId="0" fontId="9" fillId="0" borderId="11" xfId="0" applyFont="1" applyBorder="1"/>
    <xf numFmtId="1" fontId="7" fillId="0" borderId="0" xfId="0" applyNumberFormat="1" applyFont="1"/>
    <xf numFmtId="0" fontId="36" fillId="0" borderId="0" xfId="0" applyFont="1"/>
    <xf numFmtId="0" fontId="7" fillId="0" borderId="12" xfId="0" applyFont="1" applyBorder="1"/>
    <xf numFmtId="9" fontId="0" fillId="0" borderId="0" xfId="44" applyFont="1" applyFill="1" applyBorder="1"/>
    <xf numFmtId="165" fontId="7" fillId="0" borderId="12" xfId="0" applyNumberFormat="1" applyFont="1" applyBorder="1"/>
    <xf numFmtId="0" fontId="9" fillId="0" borderId="0" xfId="0" applyFont="1" applyAlignment="1">
      <alignment wrapText="1"/>
    </xf>
    <xf numFmtId="0" fontId="7" fillId="27" borderId="37" xfId="0" applyFont="1" applyFill="1" applyBorder="1" applyAlignment="1" applyProtection="1">
      <alignment horizontal="center" vertical="center"/>
      <protection locked="0"/>
    </xf>
    <xf numFmtId="0" fontId="35" fillId="30" borderId="26" xfId="0" applyFont="1" applyFill="1" applyBorder="1"/>
    <xf numFmtId="0" fontId="7" fillId="30" borderId="22" xfId="0" applyFont="1" applyFill="1" applyBorder="1"/>
    <xf numFmtId="0" fontId="9" fillId="30" borderId="22" xfId="0" applyFont="1" applyFill="1" applyBorder="1" applyAlignment="1">
      <alignment horizontal="right"/>
    </xf>
    <xf numFmtId="0" fontId="7" fillId="0" borderId="20" xfId="0" applyFont="1" applyBorder="1"/>
    <xf numFmtId="6" fontId="30" fillId="0" borderId="0" xfId="0" applyNumberFormat="1" applyFont="1"/>
    <xf numFmtId="165" fontId="7" fillId="0" borderId="20" xfId="0" applyNumberFormat="1" applyFont="1" applyBorder="1"/>
    <xf numFmtId="0" fontId="7" fillId="0" borderId="21" xfId="28" applyNumberFormat="1" applyFont="1" applyFill="1" applyBorder="1"/>
    <xf numFmtId="165" fontId="7" fillId="0" borderId="18" xfId="0" applyNumberFormat="1" applyFont="1" applyBorder="1"/>
    <xf numFmtId="0" fontId="7" fillId="0" borderId="13" xfId="28" applyNumberFormat="1" applyFont="1" applyFill="1" applyBorder="1"/>
    <xf numFmtId="165" fontId="7" fillId="0" borderId="10" xfId="0" applyNumberFormat="1" applyFont="1" applyBorder="1"/>
    <xf numFmtId="0" fontId="0" fillId="0" borderId="16" xfId="0" applyBorder="1"/>
    <xf numFmtId="0" fontId="7" fillId="0" borderId="0" xfId="0" applyFont="1" applyAlignment="1">
      <alignment horizontal="left" vertical="top" wrapText="1"/>
    </xf>
    <xf numFmtId="0" fontId="9" fillId="0" borderId="0" xfId="0" applyFont="1" applyAlignment="1">
      <alignment horizontal="left"/>
    </xf>
    <xf numFmtId="0" fontId="7" fillId="0" borderId="11" xfId="0" applyFont="1" applyBorder="1" applyAlignment="1">
      <alignment horizontal="left"/>
    </xf>
    <xf numFmtId="0" fontId="9" fillId="0" borderId="12" xfId="0" applyFont="1" applyBorder="1" applyAlignment="1">
      <alignment horizontal="left" vertical="center" wrapText="1"/>
    </xf>
    <xf numFmtId="0" fontId="9" fillId="0" borderId="12" xfId="0" applyFont="1" applyBorder="1" applyAlignment="1">
      <alignment horizontal="right"/>
    </xf>
    <xf numFmtId="0" fontId="9" fillId="0" borderId="12" xfId="0" applyFont="1" applyBorder="1" applyAlignment="1">
      <alignment horizontal="center" vertical="center"/>
    </xf>
    <xf numFmtId="167" fontId="0" fillId="0" borderId="12" xfId="28" applyNumberFormat="1" applyFont="1" applyBorder="1"/>
    <xf numFmtId="6" fontId="0" fillId="0" borderId="0" xfId="28" applyNumberFormat="1" applyFont="1"/>
    <xf numFmtId="6" fontId="0" fillId="0" borderId="12" xfId="0" applyNumberFormat="1" applyBorder="1"/>
    <xf numFmtId="0" fontId="0" fillId="0" borderId="13" xfId="0" applyBorder="1"/>
    <xf numFmtId="0" fontId="0" fillId="0" borderId="17" xfId="0" applyBorder="1"/>
    <xf numFmtId="167" fontId="7" fillId="0" borderId="0" xfId="28" applyNumberFormat="1" applyFont="1" applyFill="1" applyBorder="1"/>
    <xf numFmtId="167" fontId="0" fillId="0" borderId="0" xfId="28" applyNumberFormat="1" applyFont="1" applyFill="1" applyBorder="1"/>
    <xf numFmtId="167" fontId="7" fillId="0" borderId="0" xfId="28" applyNumberFormat="1" applyFont="1" applyFill="1"/>
    <xf numFmtId="0" fontId="0" fillId="0" borderId="15" xfId="0" applyBorder="1"/>
    <xf numFmtId="0" fontId="7" fillId="0" borderId="15" xfId="0" applyFont="1" applyBorder="1" applyAlignment="1">
      <alignment horizontal="center"/>
    </xf>
    <xf numFmtId="0" fontId="7" fillId="0" borderId="17" xfId="0" applyFont="1" applyBorder="1" applyAlignment="1">
      <alignment horizontal="center"/>
    </xf>
    <xf numFmtId="0" fontId="7" fillId="0" borderId="40" xfId="0" applyFont="1" applyBorder="1"/>
    <xf numFmtId="0" fontId="7" fillId="0" borderId="19" xfId="0" applyFont="1" applyBorder="1"/>
    <xf numFmtId="0" fontId="7" fillId="0" borderId="14" xfId="0" applyFont="1" applyBorder="1"/>
    <xf numFmtId="0" fontId="7" fillId="0" borderId="16" xfId="0" applyFont="1" applyBorder="1" applyAlignment="1">
      <alignment horizontal="center"/>
    </xf>
    <xf numFmtId="0" fontId="42" fillId="0" borderId="0" xfId="0" applyFont="1"/>
    <xf numFmtId="0" fontId="43" fillId="0" borderId="0" xfId="0" applyFont="1" applyAlignment="1">
      <alignment horizontal="right"/>
    </xf>
    <xf numFmtId="0" fontId="43" fillId="0" borderId="0" xfId="0" applyFont="1" applyAlignment="1">
      <alignment horizontal="left"/>
    </xf>
    <xf numFmtId="0" fontId="44" fillId="0" borderId="0" xfId="0" applyFont="1"/>
    <xf numFmtId="20" fontId="42" fillId="0" borderId="0" xfId="0" quotePrefix="1" applyNumberFormat="1" applyFont="1" applyAlignment="1">
      <alignment horizontal="right"/>
    </xf>
    <xf numFmtId="0" fontId="7" fillId="27" borderId="41" xfId="0" applyFont="1" applyFill="1" applyBorder="1" applyAlignment="1" applyProtection="1">
      <alignment horizontal="center" vertical="center"/>
      <protection locked="0"/>
    </xf>
    <xf numFmtId="0" fontId="7" fillId="27" borderId="11" xfId="0" applyFont="1" applyFill="1" applyBorder="1" applyAlignment="1" applyProtection="1">
      <alignment horizontal="center" vertical="center"/>
      <protection locked="0"/>
    </xf>
    <xf numFmtId="0" fontId="0" fillId="29" borderId="0" xfId="0" applyFill="1"/>
    <xf numFmtId="0" fontId="34" fillId="29" borderId="0" xfId="0" applyFont="1" applyFill="1"/>
    <xf numFmtId="9" fontId="0" fillId="29" borderId="0" xfId="0" applyNumberFormat="1" applyFill="1" applyAlignment="1">
      <alignment horizontal="right"/>
    </xf>
    <xf numFmtId="0" fontId="7" fillId="27" borderId="42" xfId="0" applyFont="1" applyFill="1" applyBorder="1" applyAlignment="1" applyProtection="1">
      <alignment horizontal="center" vertical="center"/>
      <protection locked="0"/>
    </xf>
    <xf numFmtId="0" fontId="7" fillId="29" borderId="12" xfId="0" applyFont="1" applyFill="1" applyBorder="1"/>
    <xf numFmtId="0" fontId="9" fillId="29" borderId="12" xfId="0" applyFont="1" applyFill="1" applyBorder="1"/>
    <xf numFmtId="167" fontId="0" fillId="29" borderId="0" xfId="28" applyNumberFormat="1" applyFont="1" applyFill="1" applyBorder="1" applyAlignment="1"/>
    <xf numFmtId="9" fontId="42" fillId="29" borderId="0" xfId="44" applyFont="1" applyFill="1" applyBorder="1"/>
    <xf numFmtId="167" fontId="42" fillId="29" borderId="0" xfId="28" applyNumberFormat="1" applyFont="1" applyFill="1" applyBorder="1" applyAlignment="1"/>
    <xf numFmtId="167" fontId="7" fillId="29" borderId="0" xfId="28" applyNumberFormat="1" applyFont="1" applyFill="1" applyBorder="1" applyAlignment="1"/>
    <xf numFmtId="9" fontId="0" fillId="29" borderId="0" xfId="44" applyFont="1" applyFill="1" applyBorder="1"/>
    <xf numFmtId="0" fontId="0" fillId="29" borderId="34" xfId="0" applyFill="1" applyBorder="1"/>
    <xf numFmtId="0" fontId="7" fillId="29" borderId="34" xfId="0" applyFont="1" applyFill="1" applyBorder="1"/>
    <xf numFmtId="0" fontId="42" fillId="29" borderId="34" xfId="0" applyFont="1" applyFill="1" applyBorder="1"/>
    <xf numFmtId="0" fontId="0" fillId="29" borderId="22" xfId="0" applyFill="1" applyBorder="1"/>
    <xf numFmtId="0" fontId="9" fillId="29" borderId="0" xfId="0" applyFont="1" applyFill="1"/>
    <xf numFmtId="0" fontId="7" fillId="29" borderId="0" xfId="0" applyFont="1" applyFill="1"/>
    <xf numFmtId="0" fontId="42" fillId="29" borderId="0" xfId="0" applyFont="1" applyFill="1"/>
    <xf numFmtId="0" fontId="42" fillId="29" borderId="23" xfId="0" applyFont="1" applyFill="1" applyBorder="1"/>
    <xf numFmtId="0" fontId="37" fillId="29" borderId="0" xfId="0" applyFont="1" applyFill="1"/>
    <xf numFmtId="0" fontId="43" fillId="29" borderId="0" xfId="0" applyFont="1" applyFill="1" applyAlignment="1">
      <alignment horizontal="right"/>
    </xf>
    <xf numFmtId="0" fontId="44" fillId="29" borderId="23" xfId="0" applyFont="1" applyFill="1" applyBorder="1" applyAlignment="1">
      <alignment horizontal="right"/>
    </xf>
    <xf numFmtId="0" fontId="7" fillId="0" borderId="0" xfId="0" applyFont="1" applyAlignment="1">
      <alignment horizontal="left" vertical="center" wrapText="1"/>
    </xf>
    <xf numFmtId="0" fontId="0" fillId="29" borderId="23" xfId="0" applyFill="1" applyBorder="1"/>
    <xf numFmtId="0" fontId="10" fillId="29" borderId="0" xfId="0" applyFont="1" applyFill="1"/>
    <xf numFmtId="0" fontId="9" fillId="29" borderId="0" xfId="0" applyFont="1" applyFill="1" applyAlignment="1">
      <alignment horizontal="left"/>
    </xf>
    <xf numFmtId="0" fontId="34" fillId="29" borderId="22" xfId="0" applyFont="1" applyFill="1" applyBorder="1"/>
    <xf numFmtId="0" fontId="34" fillId="29" borderId="23" xfId="0" applyFont="1" applyFill="1" applyBorder="1"/>
    <xf numFmtId="0" fontId="9" fillId="26" borderId="0" xfId="0" applyFont="1" applyFill="1" applyAlignment="1">
      <alignment horizontal="left"/>
    </xf>
    <xf numFmtId="0" fontId="32" fillId="29" borderId="0" xfId="0" applyFont="1" applyFill="1"/>
    <xf numFmtId="0" fontId="0" fillId="29" borderId="35" xfId="0" applyFill="1" applyBorder="1"/>
    <xf numFmtId="0" fontId="10" fillId="29" borderId="18" xfId="0" applyFont="1" applyFill="1" applyBorder="1"/>
    <xf numFmtId="0" fontId="0" fillId="27" borderId="22" xfId="0" applyFill="1" applyBorder="1"/>
    <xf numFmtId="0" fontId="0" fillId="32" borderId="34" xfId="0" applyFill="1" applyBorder="1"/>
    <xf numFmtId="0" fontId="9" fillId="32" borderId="34" xfId="0" applyFont="1" applyFill="1" applyBorder="1" applyAlignment="1">
      <alignment horizontal="center" vertical="center"/>
    </xf>
    <xf numFmtId="0" fontId="9" fillId="32" borderId="27" xfId="0" applyFont="1" applyFill="1" applyBorder="1" applyAlignment="1">
      <alignment horizontal="center" vertical="center"/>
    </xf>
    <xf numFmtId="0" fontId="0" fillId="32" borderId="22" xfId="0" applyFill="1" applyBorder="1"/>
    <xf numFmtId="6" fontId="0" fillId="32" borderId="23" xfId="0" applyNumberFormat="1" applyFill="1" applyBorder="1" applyAlignment="1">
      <alignment horizontal="center" vertical="center"/>
    </xf>
    <xf numFmtId="9" fontId="42" fillId="31" borderId="22" xfId="44" applyFont="1" applyFill="1" applyBorder="1" applyAlignment="1">
      <alignment horizontal="center"/>
    </xf>
    <xf numFmtId="0" fontId="0" fillId="29" borderId="25" xfId="0" applyFill="1" applyBorder="1"/>
    <xf numFmtId="0" fontId="9" fillId="32" borderId="0" xfId="0" applyFont="1" applyFill="1"/>
    <xf numFmtId="0" fontId="46" fillId="33" borderId="0" xfId="0" applyFont="1" applyFill="1" applyAlignment="1">
      <alignment horizontal="left" vertical="top"/>
    </xf>
    <xf numFmtId="8" fontId="32" fillId="33" borderId="0" xfId="0" applyNumberFormat="1" applyFont="1" applyFill="1" applyAlignment="1">
      <alignment horizontal="left" vertical="top"/>
    </xf>
    <xf numFmtId="0" fontId="9" fillId="33" borderId="0" xfId="0" applyFont="1" applyFill="1" applyAlignment="1">
      <alignment horizontal="left" vertical="top"/>
    </xf>
    <xf numFmtId="0" fontId="9" fillId="26" borderId="0" xfId="0" applyFont="1" applyFill="1"/>
    <xf numFmtId="0" fontId="10" fillId="29" borderId="0" xfId="0" applyFont="1" applyFill="1" applyAlignment="1">
      <alignment horizontal="left"/>
    </xf>
    <xf numFmtId="0" fontId="9" fillId="26" borderId="0" xfId="0" applyFont="1" applyFill="1" applyAlignment="1">
      <alignment horizontal="left" vertical="center"/>
    </xf>
    <xf numFmtId="0" fontId="0" fillId="27" borderId="11" xfId="0" applyFill="1" applyBorder="1"/>
    <xf numFmtId="0" fontId="10" fillId="29" borderId="26" xfId="0" applyFont="1" applyFill="1" applyBorder="1"/>
    <xf numFmtId="0" fontId="9" fillId="29" borderId="27" xfId="0" applyFont="1" applyFill="1" applyBorder="1"/>
    <xf numFmtId="0" fontId="10" fillId="29" borderId="24" xfId="0" applyFont="1" applyFill="1" applyBorder="1"/>
    <xf numFmtId="0" fontId="7" fillId="29" borderId="34" xfId="0" applyFont="1" applyFill="1" applyBorder="1" applyAlignment="1">
      <alignment horizontal="right"/>
    </xf>
    <xf numFmtId="0" fontId="7" fillId="29" borderId="35" xfId="0" applyFont="1" applyFill="1" applyBorder="1" applyAlignment="1">
      <alignment horizontal="right"/>
    </xf>
    <xf numFmtId="0" fontId="32" fillId="0" borderId="11" xfId="0" applyFont="1" applyBorder="1" applyAlignment="1">
      <alignment horizontal="center" vertical="center" wrapText="1"/>
    </xf>
    <xf numFmtId="0" fontId="9" fillId="0" borderId="11" xfId="0" applyFont="1" applyBorder="1" applyAlignment="1">
      <alignment horizontal="center" vertical="center" wrapText="1"/>
    </xf>
    <xf numFmtId="9" fontId="0" fillId="29" borderId="25" xfId="44" applyFont="1" applyFill="1" applyBorder="1"/>
    <xf numFmtId="0" fontId="7" fillId="0" borderId="0" xfId="0" applyFont="1" applyAlignment="1">
      <alignment horizontal="right" vertical="top" wrapText="1"/>
    </xf>
    <xf numFmtId="0" fontId="7" fillId="0" borderId="0" xfId="67"/>
    <xf numFmtId="0" fontId="47" fillId="27" borderId="0" xfId="67" applyFont="1" applyFill="1"/>
    <xf numFmtId="0" fontId="7" fillId="35" borderId="0" xfId="67" applyFill="1"/>
    <xf numFmtId="0" fontId="7" fillId="0" borderId="0" xfId="67" quotePrefix="1"/>
    <xf numFmtId="0" fontId="7" fillId="0" borderId="0" xfId="67" applyAlignment="1">
      <alignment wrapText="1"/>
    </xf>
    <xf numFmtId="0" fontId="7" fillId="0" borderId="0" xfId="67" applyAlignment="1">
      <alignment horizontal="center"/>
    </xf>
    <xf numFmtId="0" fontId="7" fillId="0" borderId="0" xfId="67" applyAlignment="1">
      <alignment horizontal="center" wrapText="1"/>
    </xf>
    <xf numFmtId="8" fontId="7" fillId="0" borderId="0" xfId="67" applyNumberFormat="1"/>
    <xf numFmtId="8" fontId="7" fillId="28" borderId="0" xfId="67" applyNumberFormat="1" applyFill="1"/>
    <xf numFmtId="0" fontId="9" fillId="0" borderId="0" xfId="67" applyFont="1"/>
    <xf numFmtId="0" fontId="39" fillId="0" borderId="0" xfId="0" applyFont="1"/>
    <xf numFmtId="9" fontId="36" fillId="28" borderId="0" xfId="0" applyNumberFormat="1" applyFont="1" applyFill="1"/>
    <xf numFmtId="6" fontId="36" fillId="0" borderId="0" xfId="0" applyNumberFormat="1" applyFont="1"/>
    <xf numFmtId="165" fontId="36" fillId="0" borderId="0" xfId="0" applyNumberFormat="1" applyFont="1"/>
    <xf numFmtId="9" fontId="36" fillId="0" borderId="0" xfId="0" applyNumberFormat="1" applyFont="1"/>
    <xf numFmtId="6" fontId="48" fillId="0" borderId="0" xfId="0" applyNumberFormat="1" applyFont="1"/>
    <xf numFmtId="0" fontId="36" fillId="0" borderId="0" xfId="0" quotePrefix="1" applyFont="1"/>
    <xf numFmtId="0" fontId="36" fillId="34" borderId="0" xfId="0" applyFont="1" applyFill="1"/>
    <xf numFmtId="168" fontId="48" fillId="34" borderId="0" xfId="0" applyNumberFormat="1" applyFont="1" applyFill="1"/>
    <xf numFmtId="169" fontId="36" fillId="34" borderId="0" xfId="0" applyNumberFormat="1" applyFont="1" applyFill="1"/>
    <xf numFmtId="8" fontId="36" fillId="0" borderId="0" xfId="0" applyNumberFormat="1" applyFont="1"/>
    <xf numFmtId="167" fontId="36" fillId="0" borderId="0" xfId="28" applyNumberFormat="1" applyFont="1" applyAlignment="1">
      <alignment horizontal="center" vertical="center"/>
    </xf>
    <xf numFmtId="167" fontId="36" fillId="0" borderId="0" xfId="28" applyNumberFormat="1" applyFont="1" applyFill="1" applyAlignment="1">
      <alignment horizontal="center" vertical="center" wrapText="1"/>
    </xf>
    <xf numFmtId="6" fontId="36" fillId="0" borderId="0" xfId="28" applyNumberFormat="1" applyFont="1" applyFill="1" applyAlignment="1">
      <alignment horizontal="right" vertical="center"/>
    </xf>
    <xf numFmtId="167" fontId="36" fillId="0" borderId="0" xfId="28" applyNumberFormat="1" applyFont="1" applyAlignment="1">
      <alignment horizontal="right" vertical="center"/>
    </xf>
    <xf numFmtId="0" fontId="36" fillId="0" borderId="0" xfId="0" applyFont="1" applyAlignment="1">
      <alignment wrapText="1"/>
    </xf>
    <xf numFmtId="167" fontId="36" fillId="0" borderId="0" xfId="44" applyNumberFormat="1" applyFont="1" applyFill="1"/>
    <xf numFmtId="0" fontId="36" fillId="29" borderId="0" xfId="0" applyFont="1" applyFill="1"/>
    <xf numFmtId="0" fontId="10" fillId="0" borderId="10" xfId="0" applyFont="1" applyBorder="1" applyAlignment="1">
      <alignment horizontal="right"/>
    </xf>
    <xf numFmtId="0" fontId="36" fillId="29" borderId="0" xfId="0" applyFont="1" applyFill="1" applyAlignment="1">
      <alignment horizontal="right"/>
    </xf>
    <xf numFmtId="9" fontId="36" fillId="29" borderId="0" xfId="0" applyNumberFormat="1" applyFont="1" applyFill="1"/>
    <xf numFmtId="9" fontId="36" fillId="29" borderId="0" xfId="44" applyFont="1" applyFill="1" applyBorder="1"/>
    <xf numFmtId="0" fontId="36" fillId="29" borderId="0" xfId="0" applyFont="1" applyFill="1" applyAlignment="1">
      <alignment vertical="center"/>
    </xf>
    <xf numFmtId="0" fontId="0" fillId="34" borderId="27" xfId="0" applyFill="1" applyBorder="1"/>
    <xf numFmtId="0" fontId="0" fillId="34" borderId="22" xfId="0" applyFill="1" applyBorder="1"/>
    <xf numFmtId="0" fontId="34" fillId="34" borderId="22" xfId="0" applyFont="1" applyFill="1" applyBorder="1"/>
    <xf numFmtId="167" fontId="7" fillId="34" borderId="0" xfId="28" applyNumberFormat="1" applyFont="1" applyFill="1" applyBorder="1" applyAlignment="1">
      <alignment horizontal="right"/>
    </xf>
    <xf numFmtId="0" fontId="9" fillId="34" borderId="0" xfId="0" applyFont="1" applyFill="1" applyAlignment="1">
      <alignment horizontal="right"/>
    </xf>
    <xf numFmtId="0" fontId="35" fillId="34" borderId="26" xfId="0" applyFont="1" applyFill="1" applyBorder="1" applyAlignment="1">
      <alignment horizontal="left" vertical="top"/>
    </xf>
    <xf numFmtId="0" fontId="0" fillId="34" borderId="34" xfId="0" applyFill="1" applyBorder="1"/>
    <xf numFmtId="167" fontId="0" fillId="27" borderId="11" xfId="28" applyNumberFormat="1" applyFont="1" applyFill="1" applyBorder="1"/>
    <xf numFmtId="44" fontId="0" fillId="27" borderId="11" xfId="28" applyFont="1" applyFill="1" applyBorder="1"/>
    <xf numFmtId="44" fontId="0" fillId="27" borderId="11" xfId="28" applyFont="1" applyFill="1" applyBorder="1" applyAlignment="1">
      <alignment horizontal="right"/>
    </xf>
    <xf numFmtId="44" fontId="7" fillId="27" borderId="11" xfId="28" applyFont="1" applyFill="1" applyBorder="1" applyAlignment="1">
      <alignment horizontal="right"/>
    </xf>
    <xf numFmtId="0" fontId="7" fillId="0" borderId="0" xfId="0" applyFont="1" applyAlignment="1">
      <alignment horizontal="left" vertical="top"/>
    </xf>
    <xf numFmtId="0" fontId="7" fillId="24" borderId="0" xfId="0" applyFont="1" applyFill="1"/>
    <xf numFmtId="0" fontId="7" fillId="28" borderId="0" xfId="0" applyFont="1" applyFill="1"/>
    <xf numFmtId="0" fontId="7" fillId="25" borderId="0" xfId="0" applyFont="1" applyFill="1"/>
    <xf numFmtId="0" fontId="7" fillId="26" borderId="0" xfId="0" applyFont="1" applyFill="1"/>
    <xf numFmtId="6" fontId="7" fillId="28" borderId="0" xfId="0" applyNumberFormat="1" applyFont="1" applyFill="1"/>
    <xf numFmtId="9" fontId="7" fillId="24" borderId="0" xfId="0" applyNumberFormat="1" applyFont="1" applyFill="1"/>
    <xf numFmtId="44" fontId="7" fillId="0" borderId="0" xfId="0" applyNumberFormat="1" applyFont="1"/>
    <xf numFmtId="0" fontId="7" fillId="30" borderId="27" xfId="0" applyFont="1" applyFill="1" applyBorder="1"/>
    <xf numFmtId="44" fontId="7" fillId="30" borderId="23" xfId="28" applyFont="1" applyFill="1" applyBorder="1"/>
    <xf numFmtId="44" fontId="7" fillId="30" borderId="38" xfId="28" applyFont="1" applyFill="1" applyBorder="1"/>
    <xf numFmtId="0" fontId="7" fillId="30" borderId="24" xfId="0" applyFont="1" applyFill="1" applyBorder="1"/>
    <xf numFmtId="44" fontId="7" fillId="30" borderId="25" xfId="0" applyNumberFormat="1" applyFont="1" applyFill="1" applyBorder="1"/>
    <xf numFmtId="43" fontId="7" fillId="0" borderId="0" xfId="61" applyFont="1"/>
    <xf numFmtId="43" fontId="7" fillId="27" borderId="0" xfId="61" applyFont="1" applyFill="1"/>
    <xf numFmtId="8" fontId="7" fillId="30" borderId="23" xfId="28" applyNumberFormat="1" applyFont="1" applyFill="1" applyBorder="1"/>
    <xf numFmtId="167" fontId="36" fillId="0" borderId="0" xfId="28" applyNumberFormat="1" applyFont="1" applyFill="1"/>
    <xf numFmtId="44" fontId="36" fillId="0" borderId="0" xfId="0" applyNumberFormat="1" applyFont="1" applyAlignment="1">
      <alignment wrapText="1"/>
    </xf>
    <xf numFmtId="167" fontId="39" fillId="0" borderId="0" xfId="44" applyNumberFormat="1" applyFont="1" applyFill="1"/>
    <xf numFmtId="1" fontId="31" fillId="0" borderId="0" xfId="0" applyNumberFormat="1" applyFont="1"/>
    <xf numFmtId="165" fontId="9" fillId="0" borderId="36" xfId="0" applyNumberFormat="1" applyFont="1" applyBorder="1"/>
    <xf numFmtId="43" fontId="36" fillId="0" borderId="0" xfId="61" applyFont="1"/>
    <xf numFmtId="0" fontId="42" fillId="0" borderId="0" xfId="0" applyFont="1" applyAlignment="1" applyProtection="1">
      <alignment vertical="top" wrapText="1"/>
      <protection hidden="1"/>
    </xf>
    <xf numFmtId="9" fontId="42" fillId="29" borderId="0" xfId="44" applyFont="1" applyFill="1" applyBorder="1" applyAlignment="1">
      <alignment horizontal="center"/>
    </xf>
    <xf numFmtId="2" fontId="0" fillId="0" borderId="11" xfId="28" applyNumberFormat="1" applyFont="1" applyFill="1" applyBorder="1"/>
    <xf numFmtId="0" fontId="7" fillId="0" borderId="0" xfId="0" applyFont="1" applyProtection="1">
      <protection locked="0"/>
    </xf>
    <xf numFmtId="44" fontId="7" fillId="0" borderId="0" xfId="28" applyFont="1" applyFill="1"/>
    <xf numFmtId="0" fontId="7" fillId="0" borderId="0" xfId="63"/>
    <xf numFmtId="0" fontId="49" fillId="0" borderId="0" xfId="63" applyFont="1" applyAlignment="1">
      <alignment wrapText="1"/>
    </xf>
    <xf numFmtId="0" fontId="50" fillId="0" borderId="0" xfId="63" applyFont="1"/>
    <xf numFmtId="164" fontId="42" fillId="0" borderId="0" xfId="63" applyNumberFormat="1" applyFont="1"/>
    <xf numFmtId="1" fontId="7" fillId="0" borderId="0" xfId="63" applyNumberFormat="1"/>
    <xf numFmtId="8" fontId="7" fillId="0" borderId="0" xfId="63" applyNumberFormat="1"/>
    <xf numFmtId="9" fontId="7" fillId="0" borderId="0" xfId="63" applyNumberFormat="1"/>
    <xf numFmtId="6" fontId="7" fillId="0" borderId="0" xfId="63" applyNumberFormat="1"/>
    <xf numFmtId="0" fontId="51" fillId="0" borderId="35" xfId="63" applyFont="1" applyBorder="1" applyAlignment="1">
      <alignment wrapText="1"/>
    </xf>
    <xf numFmtId="0" fontId="9" fillId="0" borderId="35" xfId="63" applyFont="1" applyBorder="1"/>
    <xf numFmtId="0" fontId="7" fillId="0" borderId="35" xfId="63" applyBorder="1"/>
    <xf numFmtId="0" fontId="51" fillId="0" borderId="0" xfId="63" applyFont="1" applyAlignment="1">
      <alignment wrapText="1"/>
    </xf>
    <xf numFmtId="0" fontId="9" fillId="0" borderId="0" xfId="63" applyFont="1"/>
    <xf numFmtId="0" fontId="32" fillId="0" borderId="0" xfId="63" applyFont="1" applyAlignment="1">
      <alignment horizontal="center"/>
    </xf>
    <xf numFmtId="0" fontId="7" fillId="0" borderId="0" xfId="61" applyNumberFormat="1" applyFont="1" applyBorder="1"/>
    <xf numFmtId="0" fontId="7" fillId="0" borderId="0" xfId="63" applyAlignment="1">
      <alignment wrapText="1"/>
    </xf>
    <xf numFmtId="44" fontId="7" fillId="0" borderId="0" xfId="28"/>
    <xf numFmtId="170" fontId="7" fillId="0" borderId="0" xfId="61" applyNumberFormat="1" applyFont="1" applyBorder="1"/>
    <xf numFmtId="0" fontId="7" fillId="0" borderId="0" xfId="63" applyAlignment="1">
      <alignment horizontal="center"/>
    </xf>
    <xf numFmtId="44" fontId="7" fillId="0" borderId="0" xfId="66" applyFont="1" applyBorder="1"/>
    <xf numFmtId="0" fontId="7" fillId="0" borderId="0" xfId="61" applyNumberFormat="1" applyFont="1" applyFill="1" applyBorder="1"/>
    <xf numFmtId="0" fontId="1" fillId="0" borderId="0" xfId="60"/>
    <xf numFmtId="0" fontId="52" fillId="0" borderId="0" xfId="60" applyFont="1"/>
    <xf numFmtId="43" fontId="7" fillId="0" borderId="12" xfId="61" applyFont="1" applyBorder="1"/>
    <xf numFmtId="0" fontId="9" fillId="0" borderId="0" xfId="63" applyFont="1" applyAlignment="1">
      <alignment horizontal="right"/>
    </xf>
    <xf numFmtId="0" fontId="7" fillId="0" borderId="12" xfId="63" applyBorder="1"/>
    <xf numFmtId="170" fontId="9" fillId="0" borderId="12" xfId="61" applyNumberFormat="1" applyFont="1" applyBorder="1"/>
    <xf numFmtId="0" fontId="9" fillId="0" borderId="0" xfId="63" applyFont="1" applyAlignment="1">
      <alignment wrapText="1"/>
    </xf>
    <xf numFmtId="0" fontId="35" fillId="0" borderId="0" xfId="63" applyFont="1"/>
    <xf numFmtId="165" fontId="7" fillId="0" borderId="0" xfId="63" applyNumberFormat="1"/>
    <xf numFmtId="10" fontId="7" fillId="0" borderId="0" xfId="63" applyNumberFormat="1"/>
    <xf numFmtId="43" fontId="7" fillId="0" borderId="0" xfId="63" applyNumberFormat="1"/>
    <xf numFmtId="165" fontId="9" fillId="0" borderId="0" xfId="63" applyNumberFormat="1" applyFont="1"/>
    <xf numFmtId="0" fontId="7" fillId="0" borderId="0" xfId="63" applyAlignment="1">
      <alignment horizontal="right"/>
    </xf>
    <xf numFmtId="164" fontId="7" fillId="0" borderId="0" xfId="63" applyNumberFormat="1"/>
    <xf numFmtId="164" fontId="7" fillId="0" borderId="0" xfId="63" applyNumberFormat="1" applyAlignment="1">
      <alignment horizontal="right"/>
    </xf>
    <xf numFmtId="0" fontId="9" fillId="0" borderId="0" xfId="63" applyFont="1" applyAlignment="1">
      <alignment horizontal="right" wrapText="1"/>
    </xf>
    <xf numFmtId="10" fontId="9" fillId="0" borderId="12" xfId="63" applyNumberFormat="1" applyFont="1" applyBorder="1"/>
    <xf numFmtId="165" fontId="9" fillId="0" borderId="12" xfId="63" applyNumberFormat="1" applyFont="1" applyBorder="1"/>
    <xf numFmtId="2" fontId="7" fillId="0" borderId="0" xfId="63" applyNumberFormat="1"/>
    <xf numFmtId="0" fontId="7" fillId="0" borderId="0" xfId="63" applyAlignment="1">
      <alignment horizontal="left" wrapText="1"/>
    </xf>
    <xf numFmtId="44" fontId="7" fillId="27" borderId="0" xfId="28" applyFill="1" applyAlignment="1">
      <alignment horizontal="left"/>
    </xf>
    <xf numFmtId="0" fontId="7" fillId="0" borderId="0" xfId="63" applyAlignment="1">
      <alignment horizontal="left"/>
    </xf>
    <xf numFmtId="165" fontId="7" fillId="0" borderId="12" xfId="63" applyNumberFormat="1" applyBorder="1"/>
    <xf numFmtId="5" fontId="7" fillId="0" borderId="0" xfId="63" applyNumberFormat="1"/>
    <xf numFmtId="0" fontId="53" fillId="0" borderId="35" xfId="63" applyFont="1" applyBorder="1" applyAlignment="1">
      <alignment wrapText="1"/>
    </xf>
    <xf numFmtId="0" fontId="48" fillId="0" borderId="35" xfId="63" applyFont="1" applyBorder="1"/>
    <xf numFmtId="165" fontId="7" fillId="0" borderId="35" xfId="63" applyNumberFormat="1" applyBorder="1"/>
    <xf numFmtId="0" fontId="36" fillId="0" borderId="0" xfId="63" applyFont="1" applyAlignment="1">
      <alignment wrapText="1"/>
    </xf>
    <xf numFmtId="165" fontId="9" fillId="0" borderId="0" xfId="63" applyNumberFormat="1" applyFont="1" applyAlignment="1">
      <alignment horizontal="right"/>
    </xf>
    <xf numFmtId="44" fontId="0" fillId="29" borderId="0" xfId="28" applyFont="1" applyFill="1" applyBorder="1"/>
    <xf numFmtId="167" fontId="7" fillId="34" borderId="13" xfId="28" applyNumberFormat="1" applyFont="1" applyFill="1" applyBorder="1" applyAlignment="1">
      <alignment horizontal="right"/>
    </xf>
    <xf numFmtId="0" fontId="7" fillId="0" borderId="40" xfId="0" applyFont="1" applyBorder="1" applyAlignment="1">
      <alignment horizontal="left"/>
    </xf>
    <xf numFmtId="0" fontId="7" fillId="0" borderId="19" xfId="0" applyFont="1" applyBorder="1" applyAlignment="1">
      <alignment horizontal="left"/>
    </xf>
    <xf numFmtId="0" fontId="9" fillId="0" borderId="14" xfId="0" applyFont="1" applyBorder="1" applyAlignment="1">
      <alignment horizontal="left"/>
    </xf>
    <xf numFmtId="0" fontId="39" fillId="0" borderId="13" xfId="0" applyFont="1" applyBorder="1" applyAlignment="1">
      <alignment horizontal="right" vertical="center"/>
    </xf>
    <xf numFmtId="0" fontId="7" fillId="0" borderId="19" xfId="0" applyFont="1" applyBorder="1" applyAlignment="1">
      <alignment horizontal="right"/>
    </xf>
    <xf numFmtId="0" fontId="7" fillId="0" borderId="14" xfId="0" applyFont="1" applyBorder="1" applyAlignment="1">
      <alignment horizontal="right"/>
    </xf>
    <xf numFmtId="167" fontId="7" fillId="0" borderId="0" xfId="28" applyNumberFormat="1"/>
    <xf numFmtId="44" fontId="10" fillId="0" borderId="39" xfId="0" applyNumberFormat="1" applyFont="1" applyBorder="1"/>
    <xf numFmtId="43" fontId="10" fillId="0" borderId="0" xfId="0" applyNumberFormat="1" applyFont="1"/>
    <xf numFmtId="9" fontId="7" fillId="0" borderId="13" xfId="44" applyFont="1" applyFill="1" applyBorder="1"/>
    <xf numFmtId="165" fontId="7" fillId="0" borderId="36" xfId="0" applyNumberFormat="1" applyFont="1" applyBorder="1"/>
    <xf numFmtId="0" fontId="7" fillId="0" borderId="17" xfId="28" applyNumberFormat="1" applyFont="1" applyFill="1" applyBorder="1"/>
    <xf numFmtId="165" fontId="7" fillId="0" borderId="12" xfId="0" applyNumberFormat="1" applyFont="1" applyBorder="1" applyAlignment="1">
      <alignment horizontal="right"/>
    </xf>
    <xf numFmtId="0" fontId="7" fillId="0" borderId="13" xfId="0" applyFont="1" applyBorder="1"/>
    <xf numFmtId="0" fontId="36" fillId="0" borderId="10" xfId="0" applyFont="1" applyBorder="1"/>
    <xf numFmtId="0" fontId="36" fillId="0" borderId="39" xfId="0" applyFont="1" applyBorder="1"/>
    <xf numFmtId="167" fontId="9" fillId="0" borderId="12" xfId="28" applyNumberFormat="1" applyFont="1" applyFill="1" applyBorder="1"/>
    <xf numFmtId="0" fontId="54" fillId="0" borderId="20" xfId="0" applyFont="1" applyBorder="1"/>
    <xf numFmtId="0" fontId="54" fillId="0" borderId="21" xfId="0" applyFont="1" applyBorder="1"/>
    <xf numFmtId="0" fontId="54" fillId="0" borderId="0" xfId="0" applyFont="1"/>
    <xf numFmtId="8" fontId="54" fillId="0" borderId="0" xfId="0" applyNumberFormat="1" applyFont="1"/>
    <xf numFmtId="164" fontId="54" fillId="0" borderId="18" xfId="0" applyNumberFormat="1" applyFont="1" applyBorder="1"/>
    <xf numFmtId="164" fontId="54" fillId="0" borderId="13" xfId="0" applyNumberFormat="1" applyFont="1" applyBorder="1"/>
    <xf numFmtId="0" fontId="55" fillId="0" borderId="0" xfId="0" applyFont="1"/>
    <xf numFmtId="164" fontId="54" fillId="0" borderId="15" xfId="0" applyNumberFormat="1" applyFont="1" applyBorder="1"/>
    <xf numFmtId="164" fontId="54" fillId="0" borderId="16" xfId="0" applyNumberFormat="1" applyFont="1" applyBorder="1"/>
    <xf numFmtId="164" fontId="54" fillId="0" borderId="12" xfId="0" applyNumberFormat="1" applyFont="1" applyBorder="1"/>
    <xf numFmtId="164" fontId="54" fillId="0" borderId="39" xfId="0" applyNumberFormat="1" applyFont="1" applyBorder="1"/>
    <xf numFmtId="10" fontId="7" fillId="27" borderId="0" xfId="63" applyNumberFormat="1" applyFill="1"/>
    <xf numFmtId="9" fontId="42" fillId="29" borderId="22" xfId="44" applyFont="1" applyFill="1" applyBorder="1" applyAlignment="1">
      <alignment horizontal="center"/>
    </xf>
    <xf numFmtId="0" fontId="37" fillId="29" borderId="11" xfId="0" applyFont="1" applyFill="1" applyBorder="1" applyAlignment="1">
      <alignment vertical="center"/>
    </xf>
    <xf numFmtId="0" fontId="9" fillId="0" borderId="13" xfId="0" applyFont="1" applyBorder="1"/>
    <xf numFmtId="164" fontId="0" fillId="0" borderId="0" xfId="0" applyNumberFormat="1"/>
    <xf numFmtId="0" fontId="58" fillId="0" borderId="0" xfId="0" applyFont="1"/>
    <xf numFmtId="167" fontId="34" fillId="27" borderId="11" xfId="28" applyNumberFormat="1" applyFont="1" applyFill="1" applyBorder="1"/>
    <xf numFmtId="44" fontId="0" fillId="0" borderId="0" xfId="28" applyFont="1" applyFill="1" applyBorder="1"/>
    <xf numFmtId="167" fontId="7" fillId="27" borderId="11" xfId="28" applyNumberFormat="1" applyFont="1" applyFill="1" applyBorder="1"/>
    <xf numFmtId="0" fontId="58" fillId="0" borderId="0" xfId="0" applyFont="1" applyAlignment="1">
      <alignment horizontal="left"/>
    </xf>
    <xf numFmtId="44" fontId="7" fillId="27" borderId="11" xfId="28" applyFont="1" applyFill="1" applyBorder="1"/>
    <xf numFmtId="0" fontId="39" fillId="29" borderId="0" xfId="0" applyFont="1" applyFill="1" applyAlignment="1">
      <alignment horizontal="right" vertical="center"/>
    </xf>
    <xf numFmtId="0" fontId="42" fillId="29" borderId="0" xfId="0" applyFont="1" applyFill="1" applyAlignment="1">
      <alignment horizontal="center"/>
    </xf>
    <xf numFmtId="0" fontId="9" fillId="29" borderId="0" xfId="0" applyFont="1" applyFill="1" applyAlignment="1">
      <alignment horizontal="center"/>
    </xf>
    <xf numFmtId="9" fontId="7" fillId="27" borderId="0" xfId="0" applyNumberFormat="1" applyFont="1" applyFill="1"/>
    <xf numFmtId="44" fontId="1" fillId="0" borderId="0" xfId="60" applyNumberFormat="1"/>
    <xf numFmtId="0" fontId="42" fillId="0" borderId="22" xfId="0" applyFont="1" applyBorder="1"/>
    <xf numFmtId="0" fontId="57" fillId="29" borderId="0" xfId="0" applyFont="1" applyFill="1" applyAlignment="1">
      <alignment horizontal="left" vertical="center"/>
    </xf>
    <xf numFmtId="0" fontId="48" fillId="0" borderId="0" xfId="0" applyFont="1"/>
    <xf numFmtId="6" fontId="9" fillId="0" borderId="12" xfId="0" applyNumberFormat="1" applyFont="1" applyBorder="1"/>
    <xf numFmtId="165" fontId="9" fillId="0" borderId="12" xfId="63" applyNumberFormat="1" applyFont="1" applyBorder="1" applyAlignment="1">
      <alignment horizontal="right"/>
    </xf>
    <xf numFmtId="44" fontId="10" fillId="0" borderId="0" xfId="66" applyFont="1" applyBorder="1"/>
    <xf numFmtId="0" fontId="10" fillId="0" borderId="0" xfId="63" applyFont="1" applyAlignment="1">
      <alignment wrapText="1"/>
    </xf>
    <xf numFmtId="166" fontId="0" fillId="0" borderId="0" xfId="0" applyNumberFormat="1"/>
    <xf numFmtId="0" fontId="59" fillId="0" borderId="0" xfId="0" applyFont="1" applyAlignment="1">
      <alignment vertical="top"/>
    </xf>
    <xf numFmtId="0" fontId="7" fillId="0" borderId="0" xfId="0" applyFont="1" applyAlignment="1">
      <alignment horizontal="center"/>
    </xf>
    <xf numFmtId="0" fontId="54" fillId="0" borderId="18" xfId="0" applyFont="1" applyBorder="1"/>
    <xf numFmtId="0" fontId="54" fillId="0" borderId="15" xfId="0" applyFont="1" applyBorder="1"/>
    <xf numFmtId="165" fontId="54" fillId="0" borderId="15" xfId="0" applyNumberFormat="1" applyFont="1" applyBorder="1"/>
    <xf numFmtId="170" fontId="7" fillId="0" borderId="0" xfId="63" applyNumberFormat="1" applyAlignment="1">
      <alignment horizontal="center"/>
    </xf>
    <xf numFmtId="44" fontId="0" fillId="27" borderId="18" xfId="28" applyFont="1" applyFill="1" applyBorder="1" applyAlignment="1">
      <alignment horizontal="right"/>
    </xf>
    <xf numFmtId="0" fontId="10" fillId="29" borderId="18" xfId="0" applyFont="1" applyFill="1" applyBorder="1" applyAlignment="1">
      <alignment horizontal="left"/>
    </xf>
    <xf numFmtId="8" fontId="0" fillId="0" borderId="12" xfId="0" applyNumberFormat="1" applyBorder="1"/>
    <xf numFmtId="0" fontId="36" fillId="0" borderId="20" xfId="0" applyFont="1" applyBorder="1" applyAlignment="1">
      <alignment vertical="top"/>
    </xf>
    <xf numFmtId="0" fontId="36" fillId="0" borderId="21" xfId="0" applyFont="1" applyBorder="1" applyAlignment="1">
      <alignment vertical="top"/>
    </xf>
    <xf numFmtId="0" fontId="36" fillId="0" borderId="20" xfId="0" applyFont="1" applyBorder="1"/>
    <xf numFmtId="0" fontId="36" fillId="0" borderId="21" xfId="0" applyFont="1" applyBorder="1"/>
    <xf numFmtId="0" fontId="36" fillId="0" borderId="15" xfId="0" applyFont="1" applyBorder="1" applyAlignment="1">
      <alignment horizontal="center"/>
    </xf>
    <xf numFmtId="0" fontId="36" fillId="0" borderId="17" xfId="0" applyFont="1" applyBorder="1" applyAlignment="1">
      <alignment horizontal="center"/>
    </xf>
    <xf numFmtId="0" fontId="36" fillId="0" borderId="40" xfId="0" applyFont="1" applyBorder="1"/>
    <xf numFmtId="0" fontId="36" fillId="0" borderId="18" xfId="0" applyFont="1" applyBorder="1"/>
    <xf numFmtId="0" fontId="36" fillId="0" borderId="13" xfId="0" applyFont="1" applyBorder="1"/>
    <xf numFmtId="2" fontId="36" fillId="0" borderId="18" xfId="0" applyNumberFormat="1" applyFont="1" applyBorder="1"/>
    <xf numFmtId="0" fontId="36" fillId="0" borderId="19" xfId="0" applyFont="1" applyBorder="1"/>
    <xf numFmtId="2" fontId="7" fillId="0" borderId="18" xfId="0" applyNumberFormat="1" applyFont="1" applyBorder="1"/>
    <xf numFmtId="166" fontId="7" fillId="0" borderId="18" xfId="0" applyNumberFormat="1" applyFont="1" applyBorder="1"/>
    <xf numFmtId="164" fontId="7" fillId="0" borderId="0" xfId="0" applyNumberFormat="1" applyFont="1"/>
    <xf numFmtId="167" fontId="10" fillId="29" borderId="0" xfId="28" applyNumberFormat="1" applyFont="1" applyFill="1" applyBorder="1" applyAlignment="1"/>
    <xf numFmtId="44" fontId="34" fillId="0" borderId="0" xfId="66" applyFont="1" applyBorder="1"/>
    <xf numFmtId="167" fontId="0" fillId="0" borderId="0" xfId="28" applyNumberFormat="1" applyFont="1" applyBorder="1"/>
    <xf numFmtId="43" fontId="9" fillId="0" borderId="0" xfId="61" applyFont="1" applyFill="1" applyBorder="1"/>
    <xf numFmtId="0" fontId="7" fillId="0" borderId="12" xfId="63" applyBorder="1" applyAlignment="1">
      <alignment wrapText="1"/>
    </xf>
    <xf numFmtId="167" fontId="7" fillId="0" borderId="0" xfId="28" applyNumberFormat="1" applyFont="1" applyBorder="1"/>
    <xf numFmtId="167" fontId="9" fillId="0" borderId="12" xfId="28" applyNumberFormat="1" applyFont="1" applyBorder="1"/>
    <xf numFmtId="170" fontId="7" fillId="0" borderId="0" xfId="61" applyNumberFormat="1" applyFont="1" applyFill="1" applyBorder="1"/>
    <xf numFmtId="170" fontId="7" fillId="0" borderId="12" xfId="0" applyNumberFormat="1" applyFont="1" applyBorder="1"/>
    <xf numFmtId="164" fontId="54" fillId="0" borderId="0" xfId="0" applyNumberFormat="1" applyFont="1"/>
    <xf numFmtId="164" fontId="55" fillId="0" borderId="0" xfId="0" applyNumberFormat="1" applyFont="1"/>
    <xf numFmtId="164" fontId="7" fillId="0" borderId="0" xfId="0" applyNumberFormat="1" applyFont="1" applyProtection="1">
      <protection locked="0"/>
    </xf>
    <xf numFmtId="0" fontId="7" fillId="29" borderId="0" xfId="0" applyFont="1" applyFill="1" applyAlignment="1">
      <alignment horizontal="left"/>
    </xf>
    <xf numFmtId="0" fontId="36" fillId="29" borderId="0" xfId="0" applyFont="1" applyFill="1" applyAlignment="1">
      <alignment horizontal="left"/>
    </xf>
    <xf numFmtId="0" fontId="35" fillId="29" borderId="0" xfId="0" applyFont="1" applyFill="1"/>
    <xf numFmtId="0" fontId="7" fillId="29" borderId="0" xfId="0" applyFont="1" applyFill="1" applyAlignment="1">
      <alignment horizontal="left" vertical="top"/>
    </xf>
    <xf numFmtId="0" fontId="36" fillId="29" borderId="0" xfId="0" applyFont="1" applyFill="1" applyAlignment="1">
      <alignment horizontal="left" vertical="top"/>
    </xf>
    <xf numFmtId="14" fontId="42" fillId="29" borderId="34" xfId="0" applyNumberFormat="1" applyFont="1" applyFill="1" applyBorder="1" applyAlignment="1">
      <alignment horizontal="left"/>
    </xf>
    <xf numFmtId="0" fontId="40" fillId="29" borderId="0" xfId="0" applyFont="1" applyFill="1"/>
    <xf numFmtId="0" fontId="0" fillId="0" borderId="34" xfId="0" applyBorder="1"/>
    <xf numFmtId="0" fontId="0" fillId="0" borderId="22" xfId="0" applyBorder="1"/>
    <xf numFmtId="0" fontId="9" fillId="34" borderId="23" xfId="0" applyFont="1" applyFill="1" applyBorder="1" applyAlignment="1">
      <alignment horizontal="center"/>
    </xf>
    <xf numFmtId="0" fontId="32" fillId="29" borderId="13" xfId="0" applyFont="1" applyFill="1" applyBorder="1" applyAlignment="1">
      <alignment horizontal="right"/>
    </xf>
    <xf numFmtId="0" fontId="39" fillId="29" borderId="0" xfId="0" applyFont="1" applyFill="1" applyAlignment="1">
      <alignment horizontal="left"/>
    </xf>
    <xf numFmtId="0" fontId="7" fillId="29" borderId="0" xfId="0" applyFont="1" applyFill="1" applyAlignment="1">
      <alignment horizontal="right"/>
    </xf>
    <xf numFmtId="0" fontId="10" fillId="29" borderId="0" xfId="0" applyFont="1" applyFill="1" applyAlignment="1">
      <alignment horizontal="right"/>
    </xf>
    <xf numFmtId="0" fontId="0" fillId="34" borderId="0" xfId="0" applyFill="1"/>
    <xf numFmtId="9" fontId="0" fillId="34" borderId="0" xfId="44" applyFont="1" applyFill="1" applyBorder="1"/>
    <xf numFmtId="0" fontId="0" fillId="34" borderId="23" xfId="0" applyFill="1" applyBorder="1"/>
    <xf numFmtId="0" fontId="41" fillId="38" borderId="26" xfId="0" applyFont="1" applyFill="1" applyBorder="1"/>
    <xf numFmtId="0" fontId="60" fillId="38" borderId="27" xfId="0" applyFont="1" applyFill="1" applyBorder="1"/>
    <xf numFmtId="0" fontId="41" fillId="32" borderId="26" xfId="0" applyFont="1" applyFill="1" applyBorder="1" applyAlignment="1">
      <alignment horizontal="left"/>
    </xf>
    <xf numFmtId="0" fontId="60" fillId="38" borderId="22" xfId="0" applyFont="1" applyFill="1" applyBorder="1"/>
    <xf numFmtId="0" fontId="60" fillId="38" borderId="23" xfId="0" applyFont="1" applyFill="1" applyBorder="1"/>
    <xf numFmtId="0" fontId="0" fillId="32" borderId="0" xfId="0" applyFill="1"/>
    <xf numFmtId="6" fontId="0" fillId="32" borderId="0" xfId="0" applyNumberFormat="1" applyFill="1" applyAlignment="1">
      <alignment horizontal="center" vertical="center"/>
    </xf>
    <xf numFmtId="0" fontId="45" fillId="38" borderId="22" xfId="0" applyFont="1" applyFill="1" applyBorder="1"/>
    <xf numFmtId="0" fontId="61" fillId="38" borderId="22" xfId="0" applyFont="1" applyFill="1" applyBorder="1"/>
    <xf numFmtId="167" fontId="60" fillId="38" borderId="23" xfId="28" applyNumberFormat="1" applyFont="1" applyFill="1" applyBorder="1"/>
    <xf numFmtId="0" fontId="60" fillId="38" borderId="46" xfId="0" applyFont="1" applyFill="1" applyBorder="1"/>
    <xf numFmtId="167" fontId="60" fillId="38" borderId="38" xfId="28" applyNumberFormat="1" applyFont="1" applyFill="1" applyBorder="1"/>
    <xf numFmtId="167" fontId="61" fillId="38" borderId="23" xfId="28" applyNumberFormat="1" applyFont="1" applyFill="1" applyBorder="1"/>
    <xf numFmtId="0" fontId="41" fillId="36" borderId="26" xfId="0" applyFont="1" applyFill="1" applyBorder="1" applyAlignment="1">
      <alignment horizontal="left"/>
    </xf>
    <xf numFmtId="0" fontId="0" fillId="36" borderId="34" xfId="0" applyFill="1" applyBorder="1"/>
    <xf numFmtId="0" fontId="9" fillId="36" borderId="34" xfId="0" applyFont="1" applyFill="1" applyBorder="1" applyAlignment="1">
      <alignment horizontal="center" vertical="center"/>
    </xf>
    <xf numFmtId="0" fontId="10" fillId="36" borderId="22" xfId="0" applyFont="1" applyFill="1" applyBorder="1"/>
    <xf numFmtId="0" fontId="0" fillId="36" borderId="22" xfId="0" applyFill="1" applyBorder="1"/>
    <xf numFmtId="0" fontId="45" fillId="38" borderId="46" xfId="0" applyFont="1" applyFill="1" applyBorder="1"/>
    <xf numFmtId="167" fontId="45" fillId="38" borderId="38" xfId="28" applyNumberFormat="1" applyFont="1" applyFill="1" applyBorder="1"/>
    <xf numFmtId="0" fontId="0" fillId="36" borderId="24" xfId="0" applyFill="1" applyBorder="1"/>
    <xf numFmtId="0" fontId="0" fillId="36" borderId="35" xfId="0" applyFill="1" applyBorder="1"/>
    <xf numFmtId="6" fontId="0" fillId="36" borderId="35" xfId="0" applyNumberFormat="1" applyFill="1" applyBorder="1" applyAlignment="1">
      <alignment horizontal="center" vertical="center"/>
    </xf>
    <xf numFmtId="0" fontId="9" fillId="37" borderId="34" xfId="0" applyFont="1" applyFill="1" applyBorder="1" applyAlignment="1">
      <alignment horizontal="center" vertical="center"/>
    </xf>
    <xf numFmtId="0" fontId="10" fillId="37" borderId="22" xfId="0" applyFont="1" applyFill="1" applyBorder="1"/>
    <xf numFmtId="0" fontId="0" fillId="37" borderId="22" xfId="0" applyFill="1" applyBorder="1"/>
    <xf numFmtId="167" fontId="60" fillId="38" borderId="38" xfId="0" applyNumberFormat="1" applyFont="1" applyFill="1" applyBorder="1"/>
    <xf numFmtId="167" fontId="60" fillId="38" borderId="23" xfId="0" applyNumberFormat="1" applyFont="1" applyFill="1" applyBorder="1"/>
    <xf numFmtId="0" fontId="0" fillId="37" borderId="24" xfId="0" applyFill="1" applyBorder="1"/>
    <xf numFmtId="0" fontId="0" fillId="37" borderId="35" xfId="0" applyFill="1" applyBorder="1"/>
    <xf numFmtId="6" fontId="0" fillId="37" borderId="35" xfId="0" applyNumberFormat="1" applyFill="1" applyBorder="1" applyAlignment="1">
      <alignment horizontal="center" vertical="center"/>
    </xf>
    <xf numFmtId="6" fontId="60" fillId="38" borderId="23" xfId="0" applyNumberFormat="1" applyFont="1" applyFill="1" applyBorder="1"/>
    <xf numFmtId="44" fontId="0" fillId="29" borderId="0" xfId="0" applyNumberFormat="1" applyFill="1"/>
    <xf numFmtId="0" fontId="60" fillId="38" borderId="24" xfId="0" applyFont="1" applyFill="1" applyBorder="1"/>
    <xf numFmtId="9" fontId="60" fillId="38" borderId="25" xfId="44" applyFont="1" applyFill="1" applyBorder="1"/>
    <xf numFmtId="0" fontId="9" fillId="29" borderId="16" xfId="0" applyFont="1" applyFill="1" applyBorder="1" applyAlignment="1">
      <alignment horizontal="center"/>
    </xf>
    <xf numFmtId="0" fontId="32" fillId="29" borderId="14" xfId="0" applyFont="1" applyFill="1" applyBorder="1" applyAlignment="1">
      <alignment horizontal="center" wrapText="1"/>
    </xf>
    <xf numFmtId="43" fontId="60" fillId="38" borderId="38" xfId="0" applyNumberFormat="1" applyFont="1" applyFill="1" applyBorder="1" applyAlignment="1">
      <alignment horizontal="center"/>
    </xf>
    <xf numFmtId="170" fontId="36" fillId="0" borderId="0" xfId="61" applyNumberFormat="1" applyFont="1" applyFill="1" applyBorder="1"/>
    <xf numFmtId="0" fontId="0" fillId="37" borderId="0" xfId="0" applyFill="1"/>
    <xf numFmtId="6" fontId="0" fillId="37" borderId="0" xfId="0" applyNumberFormat="1" applyFill="1" applyAlignment="1">
      <alignment horizontal="center" vertical="center"/>
    </xf>
    <xf numFmtId="0" fontId="0" fillId="36" borderId="0" xfId="0" applyFill="1"/>
    <xf numFmtId="6" fontId="0" fillId="36" borderId="0" xfId="0" applyNumberFormat="1" applyFill="1" applyAlignment="1">
      <alignment horizontal="center" vertical="center"/>
    </xf>
    <xf numFmtId="167" fontId="34" fillId="29" borderId="0" xfId="28" applyNumberFormat="1" applyFont="1" applyFill="1" applyBorder="1" applyAlignment="1"/>
    <xf numFmtId="167" fontId="36" fillId="27" borderId="11" xfId="28" applyNumberFormat="1" applyFont="1" applyFill="1" applyBorder="1"/>
    <xf numFmtId="167" fontId="36" fillId="0" borderId="11" xfId="28" applyNumberFormat="1" applyFont="1" applyFill="1" applyBorder="1"/>
    <xf numFmtId="167" fontId="36" fillId="37" borderId="11" xfId="28" applyNumberFormat="1" applyFont="1" applyFill="1" applyBorder="1"/>
    <xf numFmtId="167" fontId="36" fillId="29" borderId="11" xfId="28" applyNumberFormat="1" applyFont="1" applyFill="1" applyBorder="1"/>
    <xf numFmtId="167" fontId="64" fillId="0" borderId="11" xfId="28" applyNumberFormat="1" applyFont="1" applyFill="1" applyBorder="1"/>
    <xf numFmtId="167" fontId="7" fillId="39" borderId="11" xfId="28" applyNumberFormat="1" applyFont="1" applyFill="1" applyBorder="1"/>
    <xf numFmtId="167" fontId="7" fillId="40" borderId="11" xfId="28" applyNumberFormat="1" applyFont="1" applyFill="1" applyBorder="1"/>
    <xf numFmtId="167" fontId="7" fillId="40" borderId="11" xfId="28" applyNumberFormat="1" applyFont="1" applyFill="1" applyBorder="1" applyAlignment="1">
      <alignment horizontal="right"/>
    </xf>
    <xf numFmtId="167" fontId="7" fillId="0" borderId="11" xfId="28" applyNumberFormat="1" applyFont="1" applyFill="1" applyBorder="1"/>
    <xf numFmtId="167" fontId="0" fillId="0" borderId="0" xfId="0" applyNumberFormat="1"/>
    <xf numFmtId="44" fontId="0" fillId="0" borderId="0" xfId="28" applyFont="1"/>
    <xf numFmtId="0" fontId="7" fillId="27" borderId="0" xfId="0" applyFont="1" applyFill="1"/>
    <xf numFmtId="0" fontId="0" fillId="27" borderId="0" xfId="0" applyFill="1"/>
    <xf numFmtId="0" fontId="0" fillId="27" borderId="0" xfId="0" applyFill="1" applyAlignment="1">
      <alignment horizontal="right"/>
    </xf>
    <xf numFmtId="171" fontId="0" fillId="27" borderId="0" xfId="0" applyNumberFormat="1" applyFill="1" applyAlignment="1">
      <alignment horizontal="right"/>
    </xf>
    <xf numFmtId="167" fontId="36" fillId="41" borderId="11" xfId="28" applyNumberFormat="1" applyFont="1" applyFill="1" applyBorder="1"/>
    <xf numFmtId="167" fontId="7" fillId="41" borderId="11" xfId="28" applyNumberFormat="1" applyFont="1" applyFill="1" applyBorder="1"/>
    <xf numFmtId="167" fontId="7" fillId="41" borderId="11" xfId="28" applyNumberFormat="1" applyFont="1" applyFill="1" applyBorder="1" applyAlignment="1">
      <alignment horizontal="right"/>
    </xf>
    <xf numFmtId="0" fontId="36" fillId="0" borderId="0" xfId="0" applyFont="1" applyAlignment="1">
      <alignment horizontal="center"/>
    </xf>
    <xf numFmtId="44" fontId="36" fillId="0" borderId="18" xfId="28" applyFont="1" applyBorder="1"/>
    <xf numFmtId="44" fontId="36" fillId="0" borderId="13" xfId="28" applyFont="1" applyBorder="1"/>
    <xf numFmtId="167" fontId="7" fillId="29" borderId="0" xfId="28" applyNumberFormat="1" applyFont="1" applyFill="1" applyBorder="1" applyAlignment="1">
      <alignment horizontal="right"/>
    </xf>
    <xf numFmtId="0" fontId="34" fillId="29" borderId="34" xfId="0" applyFont="1" applyFill="1" applyBorder="1"/>
    <xf numFmtId="0" fontId="42" fillId="0" borderId="27" xfId="0" applyFont="1" applyBorder="1" applyAlignment="1">
      <alignment wrapText="1"/>
    </xf>
    <xf numFmtId="0" fontId="7" fillId="0" borderId="40" xfId="0" applyFont="1" applyBorder="1" applyAlignment="1">
      <alignment horizontal="right"/>
    </xf>
    <xf numFmtId="0" fontId="10" fillId="0" borderId="11" xfId="0" applyFont="1" applyBorder="1"/>
    <xf numFmtId="0" fontId="10" fillId="29" borderId="35" xfId="0" applyFont="1" applyFill="1" applyBorder="1"/>
    <xf numFmtId="0" fontId="7" fillId="36" borderId="22" xfId="0" applyFont="1" applyFill="1" applyBorder="1" applyAlignment="1">
      <alignment horizontal="center"/>
    </xf>
    <xf numFmtId="9" fontId="42" fillId="31" borderId="11" xfId="44" applyFont="1" applyFill="1" applyBorder="1" applyAlignment="1" applyProtection="1">
      <alignment horizontal="center"/>
      <protection locked="0"/>
    </xf>
    <xf numFmtId="44" fontId="36" fillId="27" borderId="44" xfId="28" applyFont="1" applyFill="1" applyBorder="1" applyProtection="1">
      <protection locked="0"/>
    </xf>
    <xf numFmtId="44" fontId="0" fillId="27" borderId="44" xfId="28" applyFont="1" applyFill="1" applyBorder="1" applyProtection="1">
      <protection locked="0"/>
    </xf>
    <xf numFmtId="44" fontId="0" fillId="27" borderId="48" xfId="28" applyFont="1" applyFill="1" applyBorder="1" applyProtection="1">
      <protection locked="0"/>
    </xf>
    <xf numFmtId="9" fontId="36" fillId="27" borderId="11" xfId="0" applyNumberFormat="1" applyFont="1" applyFill="1" applyBorder="1" applyAlignment="1" applyProtection="1">
      <alignment horizontal="center" vertical="center"/>
      <protection locked="0"/>
    </xf>
    <xf numFmtId="0" fontId="36" fillId="27" borderId="11" xfId="44" applyNumberFormat="1" applyFont="1" applyFill="1" applyBorder="1" applyAlignment="1" applyProtection="1">
      <alignment horizontal="center"/>
      <protection locked="0"/>
    </xf>
    <xf numFmtId="0" fontId="0" fillId="27" borderId="11" xfId="0" applyFill="1" applyBorder="1" applyAlignment="1" applyProtection="1">
      <alignment horizontal="center" vertical="center"/>
      <protection locked="0"/>
    </xf>
    <xf numFmtId="9" fontId="0" fillId="27" borderId="11" xfId="0" applyNumberFormat="1" applyFill="1" applyBorder="1" applyAlignment="1" applyProtection="1">
      <alignment horizontal="right"/>
      <protection locked="0"/>
    </xf>
    <xf numFmtId="0" fontId="7" fillId="27" borderId="11" xfId="0" applyFont="1" applyFill="1" applyBorder="1" applyProtection="1">
      <protection locked="0"/>
    </xf>
    <xf numFmtId="44" fontId="7" fillId="27" borderId="11" xfId="0" applyNumberFormat="1" applyFont="1" applyFill="1" applyBorder="1" applyAlignment="1" applyProtection="1">
      <alignment horizontal="right" wrapText="1"/>
      <protection locked="0"/>
    </xf>
    <xf numFmtId="0" fontId="7" fillId="27" borderId="47" xfId="0" applyFont="1" applyFill="1" applyBorder="1" applyAlignment="1" applyProtection="1">
      <alignment horizontal="center"/>
      <protection locked="0"/>
    </xf>
    <xf numFmtId="0" fontId="9" fillId="27" borderId="11" xfId="0" applyFont="1" applyFill="1" applyBorder="1" applyAlignment="1" applyProtection="1">
      <alignment vertical="center"/>
      <protection locked="0"/>
    </xf>
    <xf numFmtId="8" fontId="62" fillId="0" borderId="0" xfId="0" applyNumberFormat="1" applyFont="1" applyAlignment="1">
      <alignment horizontal="center" vertical="center" wrapText="1"/>
    </xf>
    <xf numFmtId="8" fontId="63" fillId="0" borderId="0" xfId="0" applyNumberFormat="1" applyFont="1" applyAlignment="1">
      <alignment horizontal="center" vertical="center" wrapText="1"/>
    </xf>
    <xf numFmtId="10" fontId="0" fillId="0" borderId="0" xfId="44" applyNumberFormat="1" applyFont="1" applyFill="1" applyBorder="1"/>
    <xf numFmtId="164" fontId="42" fillId="0" borderId="0" xfId="0" applyNumberFormat="1" applyFont="1"/>
    <xf numFmtId="0" fontId="0" fillId="0" borderId="18" xfId="0" applyBorder="1" applyAlignment="1">
      <alignment horizontal="right" vertical="center"/>
    </xf>
    <xf numFmtId="0" fontId="0" fillId="0" borderId="13" xfId="0" applyBorder="1" applyAlignment="1">
      <alignment horizontal="right" vertical="center"/>
    </xf>
    <xf numFmtId="0" fontId="10" fillId="29" borderId="18" xfId="0" applyFont="1" applyFill="1" applyBorder="1" applyAlignment="1">
      <alignment horizontal="left"/>
    </xf>
    <xf numFmtId="0" fontId="10" fillId="29" borderId="0" xfId="0" applyFont="1" applyFill="1" applyAlignment="1">
      <alignment horizontal="left"/>
    </xf>
    <xf numFmtId="0" fontId="42" fillId="31" borderId="11" xfId="0" applyFont="1" applyFill="1" applyBorder="1" applyAlignment="1" applyProtection="1">
      <alignment horizontal="center"/>
      <protection locked="0"/>
    </xf>
    <xf numFmtId="0" fontId="39" fillId="0" borderId="15" xfId="0" applyFont="1" applyBorder="1" applyAlignment="1">
      <alignment horizontal="right" vertical="center" wrapText="1"/>
    </xf>
    <xf numFmtId="0" fontId="39" fillId="0" borderId="17" xfId="0" applyFont="1" applyBorder="1" applyAlignment="1">
      <alignment horizontal="right" vertical="center" wrapText="1"/>
    </xf>
    <xf numFmtId="0" fontId="42" fillId="31" borderId="11" xfId="44" applyNumberFormat="1" applyFont="1" applyFill="1" applyBorder="1" applyAlignment="1" applyProtection="1">
      <alignment horizontal="center"/>
      <protection locked="0"/>
    </xf>
    <xf numFmtId="0" fontId="39" fillId="0" borderId="18" xfId="0" applyFont="1" applyBorder="1" applyAlignment="1">
      <alignment horizontal="right" vertical="center"/>
    </xf>
    <xf numFmtId="0" fontId="39" fillId="0" borderId="13" xfId="0" applyFont="1" applyBorder="1" applyAlignment="1">
      <alignment horizontal="right" vertical="center"/>
    </xf>
    <xf numFmtId="9" fontId="36" fillId="29" borderId="0" xfId="44" applyFont="1" applyFill="1" applyBorder="1" applyAlignment="1">
      <alignment horizontal="left" vertical="top" wrapText="1"/>
    </xf>
    <xf numFmtId="9" fontId="36" fillId="29" borderId="23" xfId="44" applyFont="1" applyFill="1" applyBorder="1" applyAlignment="1">
      <alignment horizontal="left" vertical="top" wrapText="1"/>
    </xf>
    <xf numFmtId="0" fontId="56" fillId="29" borderId="0" xfId="0" applyFont="1" applyFill="1" applyAlignment="1">
      <alignment horizontal="left" vertical="top" wrapText="1"/>
    </xf>
    <xf numFmtId="0" fontId="56" fillId="29" borderId="23" xfId="0" applyFont="1" applyFill="1" applyBorder="1" applyAlignment="1">
      <alignment horizontal="left" vertical="top" wrapText="1"/>
    </xf>
    <xf numFmtId="0" fontId="39" fillId="0" borderId="20" xfId="0" applyFont="1" applyBorder="1" applyAlignment="1">
      <alignment horizontal="right" vertical="center"/>
    </xf>
    <xf numFmtId="0" fontId="39" fillId="0" borderId="21" xfId="0" applyFont="1" applyBorder="1" applyAlignment="1">
      <alignment horizontal="righ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10" fillId="0" borderId="18" xfId="0" applyFont="1" applyBorder="1" applyAlignment="1">
      <alignment horizontal="center" vertical="center"/>
    </xf>
    <xf numFmtId="0" fontId="10" fillId="0" borderId="0" xfId="0" applyFont="1" applyAlignment="1">
      <alignment horizontal="center" vertical="center"/>
    </xf>
    <xf numFmtId="0" fontId="41" fillId="37" borderId="26" xfId="0" applyFont="1" applyFill="1" applyBorder="1" applyAlignment="1">
      <alignment horizontal="left" vertical="top"/>
    </xf>
    <xf numFmtId="0" fontId="41" fillId="37" borderId="34" xfId="0" applyFont="1" applyFill="1" applyBorder="1" applyAlignment="1">
      <alignment horizontal="left" vertical="top"/>
    </xf>
    <xf numFmtId="0" fontId="9" fillId="37" borderId="34" xfId="0" applyFont="1" applyFill="1" applyBorder="1" applyAlignment="1">
      <alignment horizontal="center" vertical="center" wrapText="1"/>
    </xf>
    <xf numFmtId="0" fontId="9" fillId="37" borderId="27" xfId="0" applyFont="1" applyFill="1" applyBorder="1" applyAlignment="1">
      <alignment horizontal="center" vertical="center" wrapText="1"/>
    </xf>
    <xf numFmtId="6" fontId="0" fillId="37" borderId="0" xfId="0" applyNumberFormat="1" applyFill="1" applyAlignment="1">
      <alignment horizontal="center" vertical="center"/>
    </xf>
    <xf numFmtId="6" fontId="0" fillId="37" borderId="23" xfId="0" applyNumberFormat="1" applyFill="1" applyBorder="1" applyAlignment="1">
      <alignment horizontal="center" vertical="center"/>
    </xf>
    <xf numFmtId="0" fontId="9" fillId="36" borderId="34" xfId="0" applyFont="1" applyFill="1" applyBorder="1" applyAlignment="1">
      <alignment horizontal="center" vertical="center" wrapText="1"/>
    </xf>
    <xf numFmtId="0" fontId="9" fillId="36" borderId="27" xfId="0" applyFont="1" applyFill="1" applyBorder="1" applyAlignment="1">
      <alignment horizontal="center" vertical="center" wrapText="1"/>
    </xf>
    <xf numFmtId="6" fontId="0" fillId="36" borderId="23" xfId="0" applyNumberFormat="1" applyFill="1" applyBorder="1" applyAlignment="1">
      <alignment horizontal="center" vertical="center"/>
    </xf>
    <xf numFmtId="6" fontId="0" fillId="36" borderId="25" xfId="0" applyNumberFormat="1" applyFill="1" applyBorder="1" applyAlignment="1">
      <alignment horizontal="center" vertical="center"/>
    </xf>
    <xf numFmtId="0" fontId="45" fillId="38" borderId="43" xfId="0" applyFont="1" applyFill="1" applyBorder="1" applyAlignment="1">
      <alignment horizontal="left" vertical="top" wrapText="1"/>
    </xf>
    <xf numFmtId="0" fontId="45" fillId="38" borderId="22" xfId="0" applyFont="1" applyFill="1" applyBorder="1" applyAlignment="1">
      <alignment horizontal="left" vertical="top" wrapText="1"/>
    </xf>
    <xf numFmtId="167" fontId="45" fillId="38" borderId="45" xfId="28" applyNumberFormat="1" applyFont="1" applyFill="1" applyBorder="1" applyAlignment="1">
      <alignment horizontal="left" vertical="center"/>
    </xf>
    <xf numFmtId="167" fontId="45" fillId="38" borderId="23" xfId="28" applyNumberFormat="1" applyFont="1" applyFill="1" applyBorder="1" applyAlignment="1">
      <alignment horizontal="left" vertical="center"/>
    </xf>
    <xf numFmtId="6" fontId="0" fillId="37" borderId="35" xfId="0" applyNumberFormat="1" applyFill="1" applyBorder="1" applyAlignment="1">
      <alignment horizontal="center" vertical="center"/>
    </xf>
    <xf numFmtId="6" fontId="0" fillId="37" borderId="25" xfId="0" applyNumberFormat="1" applyFill="1" applyBorder="1" applyAlignment="1">
      <alignment horizontal="center" vertical="center"/>
    </xf>
    <xf numFmtId="0" fontId="60" fillId="38" borderId="43" xfId="0" applyFont="1" applyFill="1" applyBorder="1" applyAlignment="1">
      <alignment horizontal="left" wrapText="1"/>
    </xf>
    <xf numFmtId="0" fontId="60" fillId="38" borderId="22" xfId="0" applyFont="1" applyFill="1" applyBorder="1" applyAlignment="1">
      <alignment horizontal="left" wrapText="1"/>
    </xf>
    <xf numFmtId="0" fontId="7" fillId="0" borderId="0" xfId="0" applyFont="1" applyAlignment="1">
      <alignment horizontal="left" vertical="center" wrapText="1"/>
    </xf>
    <xf numFmtId="0" fontId="7" fillId="0" borderId="0" xfId="67" applyAlignment="1">
      <alignment wrapText="1"/>
    </xf>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7" xr:uid="{00000000-0005-0000-0000-00001B000000}"/>
    <cellStyle name="Comma 3" xfId="61" xr:uid="{00000000-0005-0000-0000-00001C000000}"/>
    <cellStyle name="Currency" xfId="28" builtinId="4"/>
    <cellStyle name="Currency 2" xfId="52" xr:uid="{00000000-0005-0000-0000-00001E000000}"/>
    <cellStyle name="Currency 2 2" xfId="56" xr:uid="{00000000-0005-0000-0000-00001F000000}"/>
    <cellStyle name="Currency 2 3" xfId="64" xr:uid="{54B92CF2-DC33-F549-A2EC-046BD2B2D406}"/>
    <cellStyle name="Currency 3" xfId="54" xr:uid="{00000000-0005-0000-0000-000020000000}"/>
    <cellStyle name="Currency 4" xfId="59" xr:uid="{00000000-0005-0000-0000-000021000000}"/>
    <cellStyle name="Currency 5" xfId="66" xr:uid="{77741308-79E3-DF4D-B987-554A22D72CB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45" xr:uid="{00000000-0005-0000-0000-00002D000000}"/>
    <cellStyle name="Normal 2 2" xfId="55" xr:uid="{00000000-0005-0000-0000-00002E000000}"/>
    <cellStyle name="Normal 2 3" xfId="63" xr:uid="{073E5740-0F4E-1143-952E-49B4E3561A97}"/>
    <cellStyle name="Normal 3" xfId="47" xr:uid="{00000000-0005-0000-0000-00002F000000}"/>
    <cellStyle name="Normal 3 2" xfId="67" xr:uid="{584964AF-28CB-324B-A1AA-4736EAAD57EC}"/>
    <cellStyle name="Normal 4" xfId="49" xr:uid="{00000000-0005-0000-0000-000030000000}"/>
    <cellStyle name="Normal 5" xfId="51" xr:uid="{00000000-0005-0000-0000-000031000000}"/>
    <cellStyle name="Normal 6" xfId="53" xr:uid="{00000000-0005-0000-0000-000032000000}"/>
    <cellStyle name="Normal 7" xfId="58" xr:uid="{00000000-0005-0000-0000-000033000000}"/>
    <cellStyle name="Normal 8" xfId="60" xr:uid="{00000000-0005-0000-0000-000034000000}"/>
    <cellStyle name="Normal 9" xfId="62" xr:uid="{134BEEEC-DE54-2148-8802-28946ED0A017}"/>
    <cellStyle name="Note" xfId="39" builtinId="10" customBuiltin="1"/>
    <cellStyle name="Output" xfId="40" builtinId="21" customBuiltin="1"/>
    <cellStyle name="Percent" xfId="44" builtinId="5"/>
    <cellStyle name="Percent 2" xfId="46" xr:uid="{00000000-0005-0000-0000-000039000000}"/>
    <cellStyle name="Percent 2 2" xfId="65" xr:uid="{08534AB9-3840-3F45-877E-12B738DBD5D2}"/>
    <cellStyle name="Percent 3" xfId="48" xr:uid="{00000000-0005-0000-0000-00003A000000}"/>
    <cellStyle name="Percent 4" xfId="50" xr:uid="{00000000-0005-0000-0000-00003B000000}"/>
    <cellStyle name="Title" xfId="41" builtinId="15" customBuiltin="1"/>
    <cellStyle name="Total" xfId="42" builtinId="25" customBuiltin="1"/>
    <cellStyle name="Warning Text" xfId="43" builtinId="11" customBuiltin="1"/>
  </cellStyles>
  <dxfs count="3">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color rgb="FF5F7530"/>
      <color rgb="FFFDE9D9"/>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'VariablesINPUT-FCC'!$M$74</c:f>
              <c:strCache>
                <c:ptCount val="1"/>
                <c:pt idx="0">
                  <c:v>Infants</c:v>
                </c:pt>
              </c:strCache>
            </c:strRef>
          </c:tx>
          <c:spPr>
            <a:solidFill>
              <a:schemeClr val="accent1"/>
            </a:solidFill>
            <a:ln>
              <a:noFill/>
            </a:ln>
            <a:effectLst/>
          </c:spPr>
          <c:invertIfNegative val="0"/>
          <c:cat>
            <c:strRef>
              <c:f>'VariablesINPUT-FCC'!$N$73:$O$73</c:f>
              <c:strCache>
                <c:ptCount val="2"/>
                <c:pt idx="0">
                  <c:v>Gap - subsidy and cost</c:v>
                </c:pt>
                <c:pt idx="1">
                  <c:v>Gap - price and cost</c:v>
                </c:pt>
              </c:strCache>
            </c:strRef>
          </c:cat>
          <c:val>
            <c:numRef>
              <c:f>'VariablesINPUT-FCC'!$N$74:$O$74</c:f>
              <c:numCache>
                <c:formatCode>"$"#,##0.00</c:formatCode>
                <c:ptCount val="2"/>
                <c:pt idx="0">
                  <c:v>-578.57408960958344</c:v>
                </c:pt>
                <c:pt idx="1">
                  <c:v>-459.40742294291681</c:v>
                </c:pt>
              </c:numCache>
            </c:numRef>
          </c:val>
          <c:extLst>
            <c:ext xmlns:c16="http://schemas.microsoft.com/office/drawing/2014/chart" uri="{C3380CC4-5D6E-409C-BE32-E72D297353CC}">
              <c16:uniqueId val="{00000000-8587-B24C-B23B-79616B3B98E9}"/>
            </c:ext>
          </c:extLst>
        </c:ser>
        <c:ser>
          <c:idx val="1"/>
          <c:order val="1"/>
          <c:tx>
            <c:strRef>
              <c:f>'VariablesINPUT-FCC'!$M$75</c:f>
              <c:strCache>
                <c:ptCount val="1"/>
                <c:pt idx="0">
                  <c:v>Toddlers</c:v>
                </c:pt>
              </c:strCache>
            </c:strRef>
          </c:tx>
          <c:spPr>
            <a:solidFill>
              <a:schemeClr val="accent3"/>
            </a:solidFill>
            <a:ln>
              <a:noFill/>
            </a:ln>
            <a:effectLst/>
          </c:spPr>
          <c:invertIfNegative val="0"/>
          <c:cat>
            <c:strRef>
              <c:f>'VariablesINPUT-FCC'!$N$73:$O$73</c:f>
              <c:strCache>
                <c:ptCount val="2"/>
                <c:pt idx="0">
                  <c:v>Gap - subsidy and cost</c:v>
                </c:pt>
                <c:pt idx="1">
                  <c:v>Gap - price and cost</c:v>
                </c:pt>
              </c:strCache>
            </c:strRef>
          </c:cat>
          <c:val>
            <c:numRef>
              <c:f>'VariablesINPUT-FCC'!$N$75:$O$75</c:f>
              <c:numCache>
                <c:formatCode>"$"#,##0.00</c:formatCode>
                <c:ptCount val="2"/>
                <c:pt idx="0">
                  <c:v>-676.07408960958344</c:v>
                </c:pt>
                <c:pt idx="1">
                  <c:v>-459.40742294291681</c:v>
                </c:pt>
              </c:numCache>
            </c:numRef>
          </c:val>
          <c:extLst>
            <c:ext xmlns:c16="http://schemas.microsoft.com/office/drawing/2014/chart" uri="{C3380CC4-5D6E-409C-BE32-E72D297353CC}">
              <c16:uniqueId val="{00000001-8587-B24C-B23B-79616B3B98E9}"/>
            </c:ext>
          </c:extLst>
        </c:ser>
        <c:ser>
          <c:idx val="2"/>
          <c:order val="2"/>
          <c:tx>
            <c:strRef>
              <c:f>'VariablesINPUT-FCC'!$M$76</c:f>
              <c:strCache>
                <c:ptCount val="1"/>
                <c:pt idx="0">
                  <c:v>Preschoolers</c:v>
                </c:pt>
              </c:strCache>
            </c:strRef>
          </c:tx>
          <c:spPr>
            <a:solidFill>
              <a:schemeClr val="accent5"/>
            </a:solidFill>
            <a:ln>
              <a:noFill/>
            </a:ln>
            <a:effectLst/>
          </c:spPr>
          <c:invertIfNegative val="0"/>
          <c:cat>
            <c:strRef>
              <c:f>'VariablesINPUT-FCC'!$N$73:$O$73</c:f>
              <c:strCache>
                <c:ptCount val="2"/>
                <c:pt idx="0">
                  <c:v>Gap - subsidy and cost</c:v>
                </c:pt>
                <c:pt idx="1">
                  <c:v>Gap - price and cost</c:v>
                </c:pt>
              </c:strCache>
            </c:strRef>
          </c:cat>
          <c:val>
            <c:numRef>
              <c:f>'VariablesINPUT-FCC'!$N$76:$O$76</c:f>
              <c:numCache>
                <c:formatCode>"$"#,##0.00</c:formatCode>
                <c:ptCount val="2"/>
                <c:pt idx="0">
                  <c:v>-676.07408960958344</c:v>
                </c:pt>
                <c:pt idx="1">
                  <c:v>-524.4074229429167</c:v>
                </c:pt>
              </c:numCache>
            </c:numRef>
          </c:val>
          <c:extLst>
            <c:ext xmlns:c16="http://schemas.microsoft.com/office/drawing/2014/chart" uri="{C3380CC4-5D6E-409C-BE32-E72D297353CC}">
              <c16:uniqueId val="{00000003-8587-B24C-B23B-79616B3B98E9}"/>
            </c:ext>
          </c:extLst>
        </c:ser>
        <c:ser>
          <c:idx val="3"/>
          <c:order val="3"/>
          <c:tx>
            <c:strRef>
              <c:f>'VariablesINPUT-FCC'!$M$77</c:f>
              <c:strCache>
                <c:ptCount val="1"/>
                <c:pt idx="0">
                  <c:v>School age</c:v>
                </c:pt>
              </c:strCache>
            </c:strRef>
          </c:tx>
          <c:spPr>
            <a:solidFill>
              <a:schemeClr val="accent1">
                <a:lumMod val="60000"/>
              </a:schemeClr>
            </a:solidFill>
            <a:ln>
              <a:noFill/>
            </a:ln>
            <a:effectLst/>
          </c:spPr>
          <c:invertIfNegative val="0"/>
          <c:cat>
            <c:strRef>
              <c:f>'VariablesINPUT-FCC'!$N$73:$O$73</c:f>
              <c:strCache>
                <c:ptCount val="2"/>
                <c:pt idx="0">
                  <c:v>Gap - subsidy and cost</c:v>
                </c:pt>
                <c:pt idx="1">
                  <c:v>Gap - price and cost</c:v>
                </c:pt>
              </c:strCache>
            </c:strRef>
          </c:cat>
          <c:val>
            <c:numRef>
              <c:f>'VariablesINPUT-FCC'!$N$77:$O$77</c:f>
              <c:numCache>
                <c:formatCode>"$"#,##0.00</c:formatCode>
                <c:ptCount val="2"/>
                <c:pt idx="0">
                  <c:v>-163.7448645979166</c:v>
                </c:pt>
                <c:pt idx="1">
                  <c:v>-337.07819793124997</c:v>
                </c:pt>
              </c:numCache>
            </c:numRef>
          </c:val>
          <c:extLst>
            <c:ext xmlns:c16="http://schemas.microsoft.com/office/drawing/2014/chart" uri="{C3380CC4-5D6E-409C-BE32-E72D297353CC}">
              <c16:uniqueId val="{00000004-8587-B24C-B23B-79616B3B98E9}"/>
            </c:ext>
          </c:extLst>
        </c:ser>
        <c:dLbls>
          <c:showLegendKey val="0"/>
          <c:showVal val="0"/>
          <c:showCatName val="0"/>
          <c:showSerName val="0"/>
          <c:showPercent val="0"/>
          <c:showBubbleSize val="0"/>
        </c:dLbls>
        <c:gapWidth val="219"/>
        <c:overlap val="-27"/>
        <c:axId val="1378133200"/>
        <c:axId val="1018972864"/>
      </c:barChart>
      <c:catAx>
        <c:axId val="13781332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972864"/>
        <c:crosses val="autoZero"/>
        <c:auto val="1"/>
        <c:lblAlgn val="ctr"/>
        <c:lblOffset val="100"/>
        <c:noMultiLvlLbl val="0"/>
      </c:catAx>
      <c:valAx>
        <c:axId val="10189728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1332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389684</xdr:colOff>
      <xdr:row>0</xdr:row>
      <xdr:rowOff>87352</xdr:rowOff>
    </xdr:from>
    <xdr:to>
      <xdr:col>10</xdr:col>
      <xdr:colOff>122126</xdr:colOff>
      <xdr:row>8</xdr:row>
      <xdr:rowOff>96897</xdr:rowOff>
    </xdr:to>
    <xdr:pic>
      <xdr:nvPicPr>
        <xdr:cNvPr id="2" name="Picture 1">
          <a:extLst>
            <a:ext uri="{FF2B5EF4-FFF2-40B4-BE49-F238E27FC236}">
              <a16:creationId xmlns:a16="http://schemas.microsoft.com/office/drawing/2014/main" id="{F088E21E-71B7-344A-89E7-349703DD2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1289" y="87352"/>
          <a:ext cx="1104356" cy="1452014"/>
        </a:xfrm>
        <a:prstGeom prst="rect">
          <a:avLst/>
        </a:prstGeom>
      </xdr:spPr>
    </xdr:pic>
    <xdr:clientData/>
  </xdr:twoCellAnchor>
  <xdr:twoCellAnchor>
    <xdr:from>
      <xdr:col>4</xdr:col>
      <xdr:colOff>234933</xdr:colOff>
      <xdr:row>83</xdr:row>
      <xdr:rowOff>40064</xdr:rowOff>
    </xdr:from>
    <xdr:to>
      <xdr:col>8</xdr:col>
      <xdr:colOff>944772</xdr:colOff>
      <xdr:row>94</xdr:row>
      <xdr:rowOff>150315</xdr:rowOff>
    </xdr:to>
    <xdr:graphicFrame macro="">
      <xdr:nvGraphicFramePr>
        <xdr:cNvPr id="5" name="Chart 4">
          <a:extLst>
            <a:ext uri="{FF2B5EF4-FFF2-40B4-BE49-F238E27FC236}">
              <a16:creationId xmlns:a16="http://schemas.microsoft.com/office/drawing/2014/main" id="{4734A837-F5C9-A548-992E-1DC2471B2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1003300</xdr:colOff>
      <xdr:row>29</xdr:row>
      <xdr:rowOff>88900</xdr:rowOff>
    </xdr:from>
    <xdr:to>
      <xdr:col>9</xdr:col>
      <xdr:colOff>1001580</xdr:colOff>
      <xdr:row>35</xdr:row>
      <xdr:rowOff>25306</xdr:rowOff>
    </xdr:to>
    <xdr:sp macro="" textlink="">
      <xdr:nvSpPr>
        <xdr:cNvPr id="3" name="TextBox 2">
          <a:extLst>
            <a:ext uri="{FF2B5EF4-FFF2-40B4-BE49-F238E27FC236}">
              <a16:creationId xmlns:a16="http://schemas.microsoft.com/office/drawing/2014/main" id="{36773E58-C38C-364B-9AE2-4DC68830234A}"/>
            </a:ext>
          </a:extLst>
        </xdr:cNvPr>
        <xdr:cNvSpPr txBox="1"/>
      </xdr:nvSpPr>
      <xdr:spPr>
        <a:xfrm>
          <a:off x="7950200" y="5499100"/>
          <a:ext cx="3122480" cy="12318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1"/>
            <a:t>State-funded</a:t>
          </a:r>
          <a:r>
            <a:rPr lang="en-US" sz="900" b="1" i="1" baseline="0"/>
            <a:t> ECE selections:</a:t>
          </a:r>
        </a:p>
        <a:p>
          <a:r>
            <a:rPr lang="en-US" sz="900" i="1" baseline="0"/>
            <a:t>Family engagement: </a:t>
          </a:r>
          <a:r>
            <a:rPr lang="en-US" sz="900" baseline="0"/>
            <a:t>4 conferences/year + Family eng specialist </a:t>
          </a:r>
        </a:p>
        <a:p>
          <a:r>
            <a:rPr lang="en-US" sz="900" i="1" baseline="0"/>
            <a:t>PD Supports: </a:t>
          </a:r>
          <a:r>
            <a:rPr lang="en-US" sz="900" baseline="0"/>
            <a:t>40 hours PD, release time, coaching</a:t>
          </a:r>
        </a:p>
        <a:p>
          <a:r>
            <a:rPr lang="en-US" sz="900" i="1" baseline="0"/>
            <a:t>Curriculum Impl Supports: </a:t>
          </a:r>
          <a:r>
            <a:rPr lang="en-US" sz="900" baseline="0"/>
            <a:t>5 hours/week </a:t>
          </a:r>
        </a:p>
        <a:p>
          <a:r>
            <a:rPr lang="en-US" sz="900" i="1" baseline="0"/>
            <a:t>Ed Materials: </a:t>
          </a:r>
          <a:r>
            <a:rPr lang="en-US" sz="900" baseline="0"/>
            <a:t>Additional $100/child/month</a:t>
          </a:r>
        </a:p>
        <a:p>
          <a:r>
            <a:rPr lang="en-US" sz="900" i="1" baseline="0"/>
            <a:t>Comp. Health and Dev: </a:t>
          </a:r>
          <a:r>
            <a:rPr lang="en-US" sz="900" baseline="0"/>
            <a:t>16 hours/month health consultant</a:t>
          </a:r>
        </a:p>
        <a:p>
          <a:r>
            <a:rPr lang="en-US" sz="900" i="1" baseline="0"/>
            <a:t>Inclusion Materials: </a:t>
          </a:r>
          <a:r>
            <a:rPr lang="en-US" sz="900" baseline="0"/>
            <a:t>$250/year inclusion materials</a:t>
          </a:r>
        </a:p>
        <a:p>
          <a:r>
            <a:rPr lang="en-US" sz="900" i="1" baseline="0"/>
            <a:t>Inclusion Support Aide: </a:t>
          </a:r>
          <a:r>
            <a:rPr lang="en-US" sz="900" baseline="0"/>
            <a:t>10% of enrollment</a:t>
          </a:r>
          <a:endParaRPr 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nterforamericanprogress-my.sharepoint.com/personal/sworkman_americanprogress_org/Documents/Oregon%20COVID%20cost%20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enterforamericanprogress-my.sharepoint.com/C:/Users/Owner/Desktop/SF_Center_RE_Model_2016%20samp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ared%20Documents/Delaware/2022%20work/DE%20Child%20Care%20Center%20Model%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enterforamericanprogress-my.sharepoint.com/Users/sworkman/OneDrive%20-%20Center%20For%20American%20Progress/Copy%20of%20SF_RE_Model_Centerbased_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99cb6bf57e6c3811/Washington%20Fiscal/final%20docs/WA%20CB%20RE%20Model_ICF%20July%2020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enterforamericanprogress-my.sharepoint.com/Users/sworkman/OneDrive%20-%20Center%20For%20American%20Progress/North%20Carolina%20PCI/NC-Center%20based%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VariablesINPUT-FCC"/>
      <sheetName val="QualityHomeProfile"/>
      <sheetName val="System costs"/>
      <sheetName val="Ratios"/>
      <sheetName val="Wages"/>
      <sheetName val="Nonpersonnel PCQC"/>
    </sheetNames>
    <sheetDataSet>
      <sheetData sheetId="0"/>
      <sheetData sheetId="1">
        <row r="9">
          <cell r="F9">
            <v>2</v>
          </cell>
        </row>
        <row r="39">
          <cell r="C39">
            <v>5380</v>
          </cell>
        </row>
        <row r="40">
          <cell r="D40">
            <v>718686.46710000001</v>
          </cell>
        </row>
      </sheetData>
      <sheetData sheetId="2">
        <row r="2">
          <cell r="F2" t="str">
            <v>Metro</v>
          </cell>
        </row>
        <row r="16">
          <cell r="D16" t="str">
            <v>BLS</v>
          </cell>
        </row>
        <row r="20">
          <cell r="D20" t="str">
            <v>Yes</v>
          </cell>
        </row>
        <row r="21">
          <cell r="D21">
            <v>10</v>
          </cell>
        </row>
        <row r="22">
          <cell r="D22">
            <v>10</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Child Finance Charts"/>
      <sheetName val="Wages BLS"/>
      <sheetName val="Nonpersonnel Aggregated"/>
      <sheetName val="Nonpersonnel from interviews"/>
      <sheetName val="Tuition Rates&amp;SMI"/>
      <sheetName val="FCS"/>
      <sheetName val="State Vouchers"/>
      <sheetName val="State Contracts"/>
      <sheetName val="Fed CACFP"/>
      <sheetName val="Fed EHS HS"/>
      <sheetName val="FamilyIncome&amp;HomePrices"/>
      <sheetName val="ECERS Cost by Level"/>
    </sheetNames>
    <sheetDataSet>
      <sheetData sheetId="0">
        <row r="6">
          <cell r="D6" t="str">
            <v>infants (0-24 mos.)</v>
          </cell>
        </row>
        <row r="26">
          <cell r="C26">
            <v>2</v>
          </cell>
          <cell r="D26">
            <v>7</v>
          </cell>
          <cell r="F26">
            <v>0</v>
          </cell>
        </row>
        <row r="27">
          <cell r="C27">
            <v>2</v>
          </cell>
          <cell r="D27">
            <v>6</v>
          </cell>
          <cell r="F27">
            <v>1</v>
          </cell>
        </row>
        <row r="28">
          <cell r="C28">
            <v>7</v>
          </cell>
          <cell r="D28">
            <v>11</v>
          </cell>
          <cell r="F28">
            <v>5</v>
          </cell>
        </row>
        <row r="29">
          <cell r="C29">
            <v>5</v>
          </cell>
          <cell r="D29">
            <v>8</v>
          </cell>
          <cell r="F29">
            <v>11</v>
          </cell>
        </row>
      </sheetData>
      <sheetData sheetId="1"/>
      <sheetData sheetId="2"/>
      <sheetData sheetId="3">
        <row r="19">
          <cell r="C19">
            <v>13</v>
          </cell>
        </row>
      </sheetData>
      <sheetData sheetId="4">
        <row r="21">
          <cell r="B21">
            <v>1535.0875411152008</v>
          </cell>
        </row>
        <row r="23">
          <cell r="B23">
            <v>2535.2442193985435</v>
          </cell>
        </row>
      </sheetData>
      <sheetData sheetId="5"/>
      <sheetData sheetId="6">
        <row r="4">
          <cell r="C4">
            <v>1900</v>
          </cell>
        </row>
      </sheetData>
      <sheetData sheetId="7"/>
      <sheetData sheetId="8">
        <row r="4">
          <cell r="B4">
            <v>1662.14</v>
          </cell>
        </row>
      </sheetData>
      <sheetData sheetId="9">
        <row r="7">
          <cell r="C7">
            <v>1444.6458333333333</v>
          </cell>
        </row>
      </sheetData>
      <sheetData sheetId="10">
        <row r="6">
          <cell r="J6">
            <v>3.5999999999999996</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QualVar"/>
      <sheetName val="Wages"/>
      <sheetName val="Ratios"/>
      <sheetName val="Nonpersonnel PCQC"/>
      <sheetName val="Subsidy Rates"/>
      <sheetName val="Tuition Rates"/>
      <sheetName val="Fed CACFP"/>
    </sheetNames>
    <sheetDataSet>
      <sheetData sheetId="0"/>
      <sheetData sheetId="1">
        <row r="58">
          <cell r="D58">
            <v>23796.799999999999</v>
          </cell>
        </row>
        <row r="59">
          <cell r="D59">
            <v>65372.3</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lity Center Profile"/>
      <sheetName val="VariablesINPUT-CTR"/>
      <sheetName val="Child Finance Charts"/>
      <sheetName val="Wages BLS"/>
      <sheetName val="Nonpersonnel Aggregated"/>
      <sheetName val="Nonpersonnel from interviews"/>
      <sheetName val="Tuition Rates&amp;SMI"/>
      <sheetName val="C- Wages"/>
      <sheetName val="PFA"/>
      <sheetName val="City Child Care"/>
      <sheetName val="ACCESS"/>
      <sheetName val="FCS"/>
      <sheetName val="State Vouchers"/>
      <sheetName val="State Contracts"/>
      <sheetName val="Fed CACFP"/>
      <sheetName val="Fed EHS HS"/>
      <sheetName val="Revenue-NOT USED"/>
      <sheetName val="FamilyIncome&amp;HomePrices"/>
      <sheetName val="ECERS Cost by Level"/>
      <sheetName val="Apdx C - Center Baseline"/>
    </sheetNames>
    <sheetDataSet>
      <sheetData sheetId="0" refreshError="1"/>
      <sheetData sheetId="1" refreshError="1">
        <row r="26">
          <cell r="C26">
            <v>2</v>
          </cell>
          <cell r="E26">
            <v>0</v>
          </cell>
        </row>
        <row r="27">
          <cell r="E27">
            <v>3</v>
          </cell>
        </row>
        <row r="28">
          <cell r="E28">
            <v>1</v>
          </cell>
        </row>
      </sheetData>
      <sheetData sheetId="2">
        <row r="3">
          <cell r="C3" t="str">
            <v>infant</v>
          </cell>
        </row>
      </sheetData>
      <sheetData sheetId="3" refreshError="1"/>
      <sheetData sheetId="4">
        <row r="21">
          <cell r="B21">
            <v>1535.0875411152008</v>
          </cell>
        </row>
      </sheetData>
      <sheetData sheetId="5" refreshError="1"/>
      <sheetData sheetId="6"/>
      <sheetData sheetId="7"/>
      <sheetData sheetId="8"/>
      <sheetData sheetId="9"/>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ob"/>
      <sheetName val="Center Output"/>
      <sheetName val="co bas"/>
      <sheetName val="co qua"/>
      <sheetName val="co asp"/>
      <sheetName val="Baseline"/>
      <sheetName val="Quality"/>
      <sheetName val="Aspirational"/>
      <sheetName val="Analysis no SA"/>
      <sheetName val="Analysis with SA"/>
      <sheetName val="Wages Input"/>
      <sheetName val="Wages Data"/>
      <sheetName val="Wages BLS"/>
      <sheetName val="Aggregated Data"/>
      <sheetName val="State Subsidy"/>
      <sheetName val="Tuition"/>
      <sheetName val="ECEAP"/>
      <sheetName val="Fed CACF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9">
          <cell r="B29">
            <v>28146.352499999997</v>
          </cell>
        </row>
      </sheetData>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Ratios"/>
      <sheetName val="Wages"/>
      <sheetName val="Wages BLS"/>
      <sheetName val="Nonpersonnel Aggregated"/>
      <sheetName val="Nonpersonnel disaggregated"/>
      <sheetName val="Tuition Rates"/>
      <sheetName val="Subsidy rates"/>
      <sheetName val="PreK"/>
      <sheetName val="Fed CACFP"/>
      <sheetName val="County Subsidy rates"/>
    </sheetNames>
    <sheetDataSet>
      <sheetData sheetId="0" refreshError="1"/>
      <sheetData sheetId="1" refreshError="1">
        <row r="7">
          <cell r="A7">
            <v>10</v>
          </cell>
        </row>
        <row r="9">
          <cell r="A9">
            <v>18</v>
          </cell>
          <cell r="F9">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dhss.delaware.gov/dhss/dss/childcr.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hss.delaware.gov/dhss/dss/files/2024DelawareChildCareMarketRateSurvey.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ederalregister.gov/documents/2021/07/07/2021-14435/child-and-adult-care-food-program-national-average-payment-rates-day-care-home-food-service-pay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499984740745262"/>
  </sheetPr>
  <dimension ref="A1:AB96"/>
  <sheetViews>
    <sheetView tabSelected="1" zoomScale="93" workbookViewId="0">
      <selection activeCell="E80" sqref="E80"/>
    </sheetView>
  </sheetViews>
  <sheetFormatPr baseColWidth="10" defaultColWidth="8.83203125" defaultRowHeight="13" x14ac:dyDescent="0.15"/>
  <cols>
    <col min="1" max="1" width="3.1640625" customWidth="1"/>
    <col min="2" max="2" width="23.33203125" customWidth="1"/>
    <col min="3" max="3" width="17.5" customWidth="1"/>
    <col min="4" max="4" width="16" customWidth="1"/>
    <col min="5" max="5" width="18.1640625" customWidth="1"/>
    <col min="6" max="6" width="14" customWidth="1"/>
    <col min="7" max="7" width="13.6640625" customWidth="1"/>
    <col min="8" max="8" width="12.33203125" customWidth="1"/>
    <col min="9" max="9" width="15" customWidth="1"/>
    <col min="10" max="10" width="18" customWidth="1"/>
    <col min="11" max="11" width="7.33203125" customWidth="1"/>
    <col min="12" max="12" width="11" customWidth="1"/>
    <col min="13" max="13" width="11.1640625" customWidth="1"/>
    <col min="17" max="17" width="9.6640625" bestFit="1" customWidth="1"/>
  </cols>
  <sheetData>
    <row r="1" spans="1:13" ht="9" customHeight="1" x14ac:dyDescent="0.15">
      <c r="A1" s="99"/>
      <c r="B1" s="362"/>
      <c r="C1" s="99"/>
      <c r="D1" s="99"/>
      <c r="E1" s="99"/>
      <c r="F1" s="100"/>
      <c r="G1" s="360" t="s">
        <v>5</v>
      </c>
      <c r="H1" s="101" t="s">
        <v>6</v>
      </c>
      <c r="I1" s="101" t="s">
        <v>7</v>
      </c>
      <c r="J1" s="101" t="s">
        <v>8</v>
      </c>
      <c r="K1" s="439" t="s">
        <v>9</v>
      </c>
      <c r="L1" s="363"/>
      <c r="M1" s="43"/>
    </row>
    <row r="2" spans="1:13" ht="21" customHeight="1" x14ac:dyDescent="0.2">
      <c r="A2" s="102"/>
      <c r="B2" s="361" t="s">
        <v>10</v>
      </c>
      <c r="C2" s="88"/>
      <c r="D2" s="88"/>
      <c r="E2" s="88"/>
      <c r="F2" s="104"/>
      <c r="G2" s="172"/>
      <c r="H2" s="105" t="s">
        <v>5</v>
      </c>
      <c r="I2" s="105" t="s">
        <v>11</v>
      </c>
      <c r="K2" s="106"/>
      <c r="L2" s="81"/>
      <c r="M2" s="43"/>
    </row>
    <row r="3" spans="1:13" ht="8" customHeight="1" x14ac:dyDescent="0.15">
      <c r="A3" s="102"/>
      <c r="B3" s="103"/>
      <c r="C3" s="88"/>
      <c r="D3" s="88"/>
      <c r="E3" s="88"/>
      <c r="F3" s="104"/>
      <c r="G3" s="172"/>
      <c r="H3" s="105" t="s">
        <v>5</v>
      </c>
      <c r="I3" s="105" t="s">
        <v>6</v>
      </c>
      <c r="J3" s="105" t="s">
        <v>12</v>
      </c>
      <c r="K3" s="106" t="s">
        <v>13</v>
      </c>
      <c r="L3" s="81" t="s">
        <v>9</v>
      </c>
      <c r="M3" s="43"/>
    </row>
    <row r="4" spans="1:13" ht="14" x14ac:dyDescent="0.15">
      <c r="A4" s="120"/>
      <c r="B4" s="107" t="s">
        <v>322</v>
      </c>
      <c r="C4" s="89"/>
      <c r="D4" s="89"/>
      <c r="E4" s="89"/>
      <c r="F4" s="89"/>
      <c r="G4" s="89"/>
      <c r="H4" s="105"/>
      <c r="I4" s="105"/>
      <c r="J4" s="105"/>
      <c r="K4" s="106"/>
      <c r="L4" s="81"/>
      <c r="M4" s="81"/>
    </row>
    <row r="5" spans="1:13" ht="14" x14ac:dyDescent="0.15">
      <c r="A5" s="126"/>
      <c r="B5" s="107" t="s">
        <v>323</v>
      </c>
      <c r="C5" s="89"/>
      <c r="D5" s="89"/>
      <c r="E5" s="89"/>
      <c r="F5" s="89"/>
      <c r="G5" s="89"/>
      <c r="H5" s="105"/>
      <c r="I5" s="105"/>
      <c r="J5" s="105"/>
      <c r="K5" s="106"/>
      <c r="L5" s="81"/>
      <c r="M5" s="81"/>
    </row>
    <row r="6" spans="1:13" ht="14" x14ac:dyDescent="0.15">
      <c r="A6" s="297"/>
      <c r="B6" s="107"/>
      <c r="C6" s="89"/>
      <c r="D6" s="89"/>
      <c r="E6" s="89"/>
      <c r="F6" s="89"/>
      <c r="G6" s="89"/>
      <c r="H6" s="105"/>
      <c r="I6" s="105"/>
      <c r="J6" s="105"/>
      <c r="K6" s="106"/>
      <c r="L6" s="81"/>
      <c r="M6" s="81"/>
    </row>
    <row r="7" spans="1:13" ht="18" customHeight="1" x14ac:dyDescent="0.15">
      <c r="A7" s="297"/>
      <c r="B7" s="298" t="s">
        <v>14</v>
      </c>
      <c r="C7" s="455" t="s">
        <v>16</v>
      </c>
      <c r="D7" s="89"/>
      <c r="E7" s="105" t="s">
        <v>16</v>
      </c>
      <c r="F7" s="105" t="s">
        <v>15</v>
      </c>
      <c r="G7" s="105"/>
      <c r="H7" s="105"/>
      <c r="I7" s="105"/>
      <c r="J7" s="105"/>
      <c r="K7" s="106"/>
      <c r="L7" s="81"/>
      <c r="M7" s="81"/>
    </row>
    <row r="8" spans="1:13" ht="15" customHeight="1" x14ac:dyDescent="0.15">
      <c r="A8" s="102"/>
      <c r="B8" s="103"/>
      <c r="C8" s="88"/>
      <c r="D8" s="88"/>
      <c r="E8" s="88"/>
      <c r="F8" s="104"/>
      <c r="G8" s="88"/>
      <c r="H8" s="105" t="s">
        <v>5</v>
      </c>
      <c r="I8" s="105" t="s">
        <v>6</v>
      </c>
      <c r="J8" s="105" t="s">
        <v>11</v>
      </c>
      <c r="K8" s="106"/>
      <c r="L8" s="81"/>
      <c r="M8" s="81"/>
    </row>
    <row r="9" spans="1:13" x14ac:dyDescent="0.15">
      <c r="A9" s="102"/>
      <c r="B9" s="132" t="s">
        <v>17</v>
      </c>
      <c r="C9" s="132"/>
      <c r="D9" s="132"/>
      <c r="E9" s="88"/>
      <c r="F9" s="88"/>
      <c r="G9" s="88"/>
      <c r="H9" s="105"/>
      <c r="I9" s="108"/>
      <c r="J9" s="105"/>
      <c r="K9" s="109"/>
      <c r="L9" s="82"/>
      <c r="M9" s="83"/>
    </row>
    <row r="10" spans="1:13" x14ac:dyDescent="0.15">
      <c r="A10" s="102"/>
      <c r="B10" s="92" t="s">
        <v>18</v>
      </c>
      <c r="C10" s="93" t="s">
        <v>19</v>
      </c>
      <c r="D10" s="103"/>
      <c r="E10" s="105"/>
      <c r="F10" s="472"/>
      <c r="G10" s="472"/>
      <c r="H10" s="472"/>
      <c r="I10" s="472"/>
      <c r="J10" s="472"/>
      <c r="K10" s="473"/>
      <c r="L10" s="82"/>
      <c r="M10" s="81"/>
    </row>
    <row r="11" spans="1:13" ht="16" customHeight="1" x14ac:dyDescent="0.15">
      <c r="A11" s="102"/>
      <c r="B11" s="91">
        <v>1</v>
      </c>
      <c r="C11" s="110" t="s">
        <v>0</v>
      </c>
      <c r="D11" s="105"/>
      <c r="E11" s="105"/>
      <c r="F11" s="472"/>
      <c r="G11" s="472"/>
      <c r="H11" s="472"/>
      <c r="I11" s="472"/>
      <c r="J11" s="472"/>
      <c r="K11" s="473"/>
      <c r="L11" s="85"/>
      <c r="M11" s="85"/>
    </row>
    <row r="12" spans="1:13" ht="17" customHeight="1" x14ac:dyDescent="0.15">
      <c r="A12" s="102"/>
      <c r="B12" s="48">
        <v>2</v>
      </c>
      <c r="C12" s="110" t="s">
        <v>1</v>
      </c>
      <c r="D12" s="105"/>
      <c r="E12" s="105"/>
      <c r="F12" s="472"/>
      <c r="G12" s="472"/>
      <c r="H12" s="472"/>
      <c r="I12" s="472"/>
      <c r="J12" s="472"/>
      <c r="K12" s="473"/>
      <c r="L12" s="85"/>
      <c r="M12" s="85"/>
    </row>
    <row r="13" spans="1:13" ht="15" customHeight="1" x14ac:dyDescent="0.15">
      <c r="A13" s="102"/>
      <c r="B13" s="86">
        <v>2</v>
      </c>
      <c r="C13" s="110" t="s">
        <v>2</v>
      </c>
      <c r="D13" s="105"/>
      <c r="E13" s="88"/>
      <c r="F13" s="472"/>
      <c r="G13" s="472"/>
      <c r="H13" s="472"/>
      <c r="I13" s="472"/>
      <c r="J13" s="472"/>
      <c r="K13" s="473"/>
      <c r="L13" s="19"/>
      <c r="M13" s="12"/>
    </row>
    <row r="14" spans="1:13" ht="17" customHeight="1" x14ac:dyDescent="0.15">
      <c r="A14" s="102"/>
      <c r="B14" s="87">
        <v>1</v>
      </c>
      <c r="C14" s="110" t="s">
        <v>3</v>
      </c>
      <c r="D14" s="105"/>
      <c r="E14" s="103"/>
      <c r="F14" s="472"/>
      <c r="G14" s="472"/>
      <c r="H14" s="472"/>
      <c r="I14" s="472"/>
      <c r="J14" s="472"/>
      <c r="K14" s="473"/>
      <c r="L14" s="19"/>
      <c r="M14" s="12"/>
    </row>
    <row r="15" spans="1:13" ht="17" customHeight="1" x14ac:dyDescent="0.15">
      <c r="A15" s="102"/>
      <c r="B15" s="65">
        <f>SUM(B11:B14)</f>
        <v>6</v>
      </c>
      <c r="C15" s="63" t="s">
        <v>20</v>
      </c>
      <c r="D15" s="88"/>
      <c r="E15" s="88"/>
      <c r="F15" s="472"/>
      <c r="G15" s="472"/>
      <c r="H15" s="472"/>
      <c r="I15" s="472"/>
      <c r="J15" s="472"/>
      <c r="K15" s="473"/>
    </row>
    <row r="16" spans="1:13" ht="12.75" customHeight="1" x14ac:dyDescent="0.15">
      <c r="A16" s="312">
        <f>SUM(B11:B13)</f>
        <v>5</v>
      </c>
      <c r="B16" s="313" t="str">
        <f>IF(AND(C7="Small Home",A16&gt;6),"Exceeds Licensing Regulations", " ")</f>
        <v xml:space="preserve"> </v>
      </c>
      <c r="C16" s="313" t="str">
        <f>IF(AND(C7="Large Home",A16&gt;12),"Exceeds Licensing Regulations", " ")</f>
        <v xml:space="preserve"> </v>
      </c>
      <c r="D16" s="89"/>
      <c r="E16" s="103"/>
      <c r="F16" s="88"/>
      <c r="G16" s="103"/>
      <c r="H16" s="88"/>
      <c r="I16" s="88"/>
      <c r="J16" s="104"/>
      <c r="K16" s="111"/>
    </row>
    <row r="17" spans="1:17" x14ac:dyDescent="0.15">
      <c r="A17" s="102"/>
      <c r="C17" s="88"/>
      <c r="D17" s="88"/>
      <c r="E17" s="88"/>
      <c r="F17" s="88"/>
      <c r="G17" s="88"/>
      <c r="H17" s="88"/>
      <c r="I17" s="88"/>
      <c r="J17" s="88"/>
      <c r="K17" s="111"/>
    </row>
    <row r="18" spans="1:17" ht="15" customHeight="1" x14ac:dyDescent="0.15">
      <c r="A18" s="102"/>
      <c r="B18" s="116" t="s">
        <v>21</v>
      </c>
      <c r="C18" s="116"/>
      <c r="D18" s="116"/>
      <c r="E18" s="90"/>
      <c r="F18" s="112"/>
      <c r="G18" s="88"/>
      <c r="H18" s="88"/>
      <c r="I18" s="88"/>
      <c r="J18" s="88"/>
      <c r="K18" s="111"/>
    </row>
    <row r="19" spans="1:17" ht="28" x14ac:dyDescent="0.15">
      <c r="A19" s="102"/>
      <c r="B19" s="133" t="s">
        <v>22</v>
      </c>
      <c r="C19" s="407" t="s">
        <v>23</v>
      </c>
      <c r="D19" s="408" t="s">
        <v>24</v>
      </c>
      <c r="E19" s="309"/>
      <c r="F19" s="357"/>
      <c r="G19" s="88"/>
      <c r="H19" s="88"/>
      <c r="I19" s="88"/>
      <c r="J19" s="88"/>
      <c r="K19" s="111"/>
    </row>
    <row r="20" spans="1:17" x14ac:dyDescent="0.15">
      <c r="A20" s="102"/>
      <c r="B20" s="440" t="s">
        <v>26</v>
      </c>
      <c r="C20" s="444">
        <v>1</v>
      </c>
      <c r="D20" s="444">
        <v>1</v>
      </c>
      <c r="E20" s="212"/>
      <c r="F20" s="358"/>
      <c r="G20" s="355"/>
      <c r="H20" s="88"/>
      <c r="I20" s="88"/>
      <c r="J20" s="88"/>
      <c r="K20" s="111"/>
    </row>
    <row r="21" spans="1:17" x14ac:dyDescent="0.15">
      <c r="A21" s="102"/>
      <c r="B21" s="272" t="s">
        <v>27</v>
      </c>
      <c r="C21" s="444"/>
      <c r="D21" s="444"/>
      <c r="E21" s="212"/>
      <c r="F21" s="359"/>
      <c r="G21" s="356"/>
      <c r="H21" s="88"/>
      <c r="I21" s="88"/>
      <c r="J21" s="88"/>
      <c r="K21" s="111"/>
    </row>
    <row r="22" spans="1:17" x14ac:dyDescent="0.15">
      <c r="A22" s="102"/>
      <c r="B22" s="272" t="s">
        <v>28</v>
      </c>
      <c r="C22" s="444"/>
      <c r="D22" s="444"/>
      <c r="E22" s="212"/>
      <c r="F22" s="359"/>
      <c r="G22" s="356"/>
      <c r="H22" s="88"/>
      <c r="I22" s="88"/>
      <c r="J22" s="88"/>
      <c r="K22" s="111"/>
    </row>
    <row r="23" spans="1:17" ht="14" thickBot="1" x14ac:dyDescent="0.2">
      <c r="A23" s="102"/>
      <c r="B23" s="272" t="s">
        <v>29</v>
      </c>
      <c r="C23" s="444"/>
      <c r="D23" s="444"/>
      <c r="E23" s="212"/>
      <c r="F23" s="358"/>
      <c r="G23" s="355"/>
      <c r="H23" s="88"/>
      <c r="I23" s="88"/>
      <c r="J23" s="88"/>
      <c r="K23" s="111"/>
    </row>
    <row r="24" spans="1:17" x14ac:dyDescent="0.15">
      <c r="A24" s="102"/>
      <c r="B24" s="273" t="s">
        <v>30</v>
      </c>
      <c r="C24" s="444"/>
      <c r="D24" s="444"/>
      <c r="E24" s="212"/>
      <c r="F24" s="212"/>
      <c r="G24" s="212"/>
      <c r="H24" s="183" t="s">
        <v>31</v>
      </c>
      <c r="I24" s="184"/>
      <c r="J24" s="178"/>
      <c r="K24" s="111"/>
    </row>
    <row r="25" spans="1:17" x14ac:dyDescent="0.15">
      <c r="A25" s="102"/>
      <c r="B25" s="174"/>
      <c r="C25" s="175">
        <f>SUM(C20:C24)</f>
        <v>1</v>
      </c>
      <c r="D25" s="175">
        <f>SUM(D20:D24)</f>
        <v>1</v>
      </c>
      <c r="E25" s="176"/>
      <c r="F25" s="95">
        <f>SUM(F24:F24)</f>
        <v>0</v>
      </c>
      <c r="G25" s="95">
        <f>SUM(G24:G24)</f>
        <v>0</v>
      </c>
      <c r="H25" s="179"/>
      <c r="I25" s="182" t="s">
        <v>35</v>
      </c>
      <c r="J25" s="364" t="s">
        <v>36</v>
      </c>
      <c r="K25" s="111"/>
      <c r="L25" s="81"/>
      <c r="M25" s="81"/>
      <c r="N25" s="81"/>
      <c r="O25" s="81"/>
    </row>
    <row r="26" spans="1:17" ht="15" customHeight="1" x14ac:dyDescent="0.15">
      <c r="A26" s="102"/>
      <c r="B26" s="174"/>
      <c r="C26" s="177" t="str">
        <f>IF(C25=1," ","total must=100%")</f>
        <v xml:space="preserve"> </v>
      </c>
      <c r="D26" s="177" t="str">
        <f>IF(D25=1," ","total must=100%")</f>
        <v xml:space="preserve"> </v>
      </c>
      <c r="E26" s="176"/>
      <c r="F26" s="95"/>
      <c r="G26" s="95"/>
      <c r="H26" s="180"/>
      <c r="I26" s="267" t="s">
        <v>38</v>
      </c>
      <c r="J26" s="445">
        <v>0</v>
      </c>
      <c r="K26" s="111"/>
      <c r="L26" s="81"/>
      <c r="M26" s="81"/>
      <c r="N26" s="81"/>
      <c r="O26" s="81"/>
    </row>
    <row r="27" spans="1:17" ht="19" customHeight="1" x14ac:dyDescent="0.15">
      <c r="A27" s="102"/>
      <c r="B27" s="174" t="s">
        <v>31</v>
      </c>
      <c r="C27" s="448" t="s">
        <v>32</v>
      </c>
      <c r="D27" s="470" t="s">
        <v>33</v>
      </c>
      <c r="E27" s="470"/>
      <c r="F27" s="470"/>
      <c r="G27" s="471"/>
      <c r="H27" s="179"/>
      <c r="I27" s="181" t="s">
        <v>40</v>
      </c>
      <c r="J27" s="446">
        <v>0</v>
      </c>
      <c r="K27" s="111"/>
      <c r="L27" s="81" t="s">
        <v>34</v>
      </c>
      <c r="M27" s="81" t="s">
        <v>32</v>
      </c>
      <c r="N27" s="81"/>
      <c r="O27" s="81"/>
    </row>
    <row r="28" spans="1:17" ht="19" customHeight="1" thickBot="1" x14ac:dyDescent="0.2">
      <c r="A28" s="102"/>
      <c r="B28" s="172"/>
      <c r="D28" s="470"/>
      <c r="E28" s="470"/>
      <c r="F28" s="470"/>
      <c r="G28" s="471"/>
      <c r="H28" s="179"/>
      <c r="I28" s="181" t="s">
        <v>42</v>
      </c>
      <c r="J28" s="447">
        <v>0</v>
      </c>
      <c r="K28" s="111"/>
      <c r="L28" s="43"/>
      <c r="M28" s="43"/>
      <c r="N28" s="43"/>
      <c r="O28" s="43"/>
      <c r="P28" s="43"/>
      <c r="Q28" s="43"/>
    </row>
    <row r="29" spans="1:17" s="13" customFormat="1" x14ac:dyDescent="0.15">
      <c r="A29" s="114"/>
      <c r="B29" s="116" t="s">
        <v>37</v>
      </c>
      <c r="C29" s="116"/>
      <c r="D29" s="116"/>
      <c r="E29" s="105"/>
      <c r="F29" s="96"/>
      <c r="G29" s="89"/>
      <c r="H29" s="438"/>
      <c r="I29" s="438"/>
      <c r="J29" s="438"/>
      <c r="K29" s="115"/>
      <c r="L29" s="43"/>
      <c r="M29" s="43"/>
      <c r="N29" s="43"/>
      <c r="O29" s="43"/>
      <c r="P29" s="43"/>
      <c r="Q29" s="43"/>
    </row>
    <row r="30" spans="1:17" ht="17" customHeight="1" x14ac:dyDescent="0.15">
      <c r="A30" s="102"/>
      <c r="B30" s="476" t="s">
        <v>325</v>
      </c>
      <c r="C30" s="477"/>
      <c r="D30" s="478" t="s">
        <v>39</v>
      </c>
      <c r="E30" s="479"/>
      <c r="F30" s="94"/>
      <c r="G30" s="88"/>
      <c r="H30" s="88"/>
      <c r="I30" s="88"/>
      <c r="J30" s="88"/>
      <c r="K30" s="111"/>
      <c r="L30" s="43"/>
      <c r="M30" s="43"/>
      <c r="N30" s="43"/>
      <c r="O30" s="43"/>
      <c r="P30" s="43"/>
      <c r="Q30" s="43"/>
    </row>
    <row r="31" spans="1:17" ht="17" customHeight="1" x14ac:dyDescent="0.15">
      <c r="A31" s="102"/>
      <c r="B31" s="474" t="s">
        <v>41</v>
      </c>
      <c r="C31" s="475"/>
      <c r="D31" s="464" t="s">
        <v>43</v>
      </c>
      <c r="E31" s="464"/>
      <c r="F31" s="343"/>
      <c r="G31" s="88"/>
      <c r="H31" s="88"/>
      <c r="I31" s="88"/>
      <c r="J31" s="88"/>
      <c r="K31" s="111"/>
      <c r="L31" s="81" t="s">
        <v>43</v>
      </c>
      <c r="M31" s="81" t="s">
        <v>307</v>
      </c>
      <c r="N31" s="81" t="s">
        <v>308</v>
      </c>
      <c r="O31" s="81" t="s">
        <v>309</v>
      </c>
      <c r="P31" s="43"/>
      <c r="Q31" s="43"/>
    </row>
    <row r="32" spans="1:17" ht="17" customHeight="1" x14ac:dyDescent="0.15">
      <c r="A32" s="102"/>
      <c r="B32" s="22"/>
      <c r="C32" s="271" t="s">
        <v>44</v>
      </c>
      <c r="D32" s="464" t="s">
        <v>43</v>
      </c>
      <c r="E32" s="464"/>
      <c r="F32" s="97"/>
      <c r="G32" s="94"/>
      <c r="H32" s="88"/>
      <c r="I32" s="437"/>
      <c r="J32" s="266"/>
      <c r="K32" s="111"/>
      <c r="L32" s="81" t="s">
        <v>43</v>
      </c>
      <c r="M32" s="81" t="s">
        <v>310</v>
      </c>
      <c r="N32" s="81" t="s">
        <v>311</v>
      </c>
      <c r="O32" s="81" t="s">
        <v>312</v>
      </c>
      <c r="P32" s="43"/>
      <c r="Q32" s="43"/>
    </row>
    <row r="33" spans="1:17" ht="17" customHeight="1" x14ac:dyDescent="0.15">
      <c r="A33" s="102"/>
      <c r="B33" s="22"/>
      <c r="C33" s="271" t="s">
        <v>45</v>
      </c>
      <c r="D33" s="464" t="s">
        <v>43</v>
      </c>
      <c r="E33" s="464"/>
      <c r="F33" s="94"/>
      <c r="G33" s="94"/>
      <c r="H33" s="97"/>
      <c r="I33" s="88"/>
      <c r="J33" s="266"/>
      <c r="K33" s="111"/>
      <c r="L33" s="81" t="s">
        <v>43</v>
      </c>
      <c r="M33" s="81" t="s">
        <v>313</v>
      </c>
      <c r="N33" s="81" t="s">
        <v>314</v>
      </c>
      <c r="O33" s="81"/>
      <c r="P33" s="43"/>
      <c r="Q33" s="43"/>
    </row>
    <row r="34" spans="1:17" ht="17" customHeight="1" x14ac:dyDescent="0.15">
      <c r="A34" s="102"/>
      <c r="B34" s="468" t="s">
        <v>46</v>
      </c>
      <c r="C34" s="469"/>
      <c r="D34" s="464" t="s">
        <v>43</v>
      </c>
      <c r="E34" s="464"/>
      <c r="F34" s="94"/>
      <c r="G34" s="94"/>
      <c r="H34" s="97"/>
      <c r="I34" s="88"/>
      <c r="J34" s="266"/>
      <c r="K34" s="111"/>
      <c r="L34" s="81" t="s">
        <v>43</v>
      </c>
      <c r="M34" s="81" t="s">
        <v>315</v>
      </c>
      <c r="N34" s="81" t="s">
        <v>316</v>
      </c>
      <c r="O34" s="81" t="s">
        <v>320</v>
      </c>
      <c r="P34" s="43"/>
      <c r="Q34" s="43"/>
    </row>
    <row r="35" spans="1:17" ht="17" customHeight="1" x14ac:dyDescent="0.15">
      <c r="A35" s="102"/>
      <c r="B35" s="22"/>
      <c r="C35" s="271" t="s">
        <v>326</v>
      </c>
      <c r="D35" s="464" t="s">
        <v>43</v>
      </c>
      <c r="E35" s="464"/>
      <c r="F35" s="94"/>
      <c r="G35" s="94"/>
      <c r="H35" s="97"/>
      <c r="I35" s="88"/>
      <c r="J35" s="266"/>
      <c r="K35" s="111"/>
      <c r="L35" s="81" t="s">
        <v>43</v>
      </c>
      <c r="M35" s="81" t="s">
        <v>317</v>
      </c>
      <c r="N35" s="81" t="s">
        <v>318</v>
      </c>
      <c r="O35" s="81"/>
      <c r="P35" s="43"/>
      <c r="Q35" s="43"/>
    </row>
    <row r="36" spans="1:17" ht="17" customHeight="1" x14ac:dyDescent="0.15">
      <c r="A36" s="102"/>
      <c r="B36" s="460" t="s">
        <v>47</v>
      </c>
      <c r="C36" s="461"/>
      <c r="D36" s="464" t="s">
        <v>48</v>
      </c>
      <c r="E36" s="464"/>
      <c r="F36" s="94"/>
      <c r="G36" s="94"/>
      <c r="H36" s="97"/>
      <c r="I36" s="88"/>
      <c r="J36" s="266"/>
      <c r="K36" s="111"/>
      <c r="L36" s="81" t="s">
        <v>48</v>
      </c>
      <c r="M36" s="81" t="s">
        <v>319</v>
      </c>
      <c r="N36" s="81"/>
      <c r="O36" s="81"/>
      <c r="P36" s="43"/>
      <c r="Q36" s="43"/>
    </row>
    <row r="37" spans="1:17" ht="17" customHeight="1" x14ac:dyDescent="0.15">
      <c r="A37" s="102"/>
      <c r="B37" s="465" t="s">
        <v>49</v>
      </c>
      <c r="C37" s="466"/>
      <c r="D37" s="467">
        <v>0</v>
      </c>
      <c r="E37" s="467"/>
      <c r="F37" s="343" t="s">
        <v>321</v>
      </c>
      <c r="G37" s="94"/>
      <c r="H37" s="97"/>
      <c r="I37" s="88"/>
      <c r="J37" s="266"/>
      <c r="K37" s="111"/>
      <c r="L37" s="81"/>
      <c r="M37" s="81"/>
      <c r="N37" s="81"/>
      <c r="O37" s="81"/>
      <c r="P37" s="43"/>
      <c r="Q37" s="43"/>
    </row>
    <row r="38" spans="1:17" ht="17" customHeight="1" x14ac:dyDescent="0.15">
      <c r="A38" s="102"/>
      <c r="B38" s="88"/>
      <c r="C38" s="307"/>
      <c r="D38" s="94"/>
      <c r="E38" s="94"/>
      <c r="F38" s="94"/>
      <c r="G38" s="94"/>
      <c r="H38" s="97"/>
      <c r="I38" s="88"/>
      <c r="J38" s="266"/>
      <c r="K38" s="111"/>
      <c r="L38" s="43"/>
      <c r="M38" s="43"/>
      <c r="N38" s="43"/>
      <c r="O38" s="43"/>
      <c r="P38" s="43"/>
      <c r="Q38" s="43"/>
    </row>
    <row r="39" spans="1:17" ht="17" customHeight="1" x14ac:dyDescent="0.15">
      <c r="A39" s="102"/>
      <c r="B39" s="134" t="s">
        <v>50</v>
      </c>
      <c r="C39" s="134"/>
      <c r="D39" s="134"/>
      <c r="E39" s="308"/>
      <c r="F39" s="94"/>
      <c r="G39" s="94"/>
      <c r="H39" s="97"/>
      <c r="I39" s="88"/>
      <c r="J39" s="266"/>
      <c r="K39" s="111"/>
      <c r="L39" s="43"/>
      <c r="M39" s="43"/>
      <c r="N39" s="43"/>
      <c r="O39" s="43"/>
      <c r="P39" s="43"/>
      <c r="Q39" s="43"/>
    </row>
    <row r="40" spans="1:17" ht="17" customHeight="1" x14ac:dyDescent="0.15">
      <c r="A40" s="102"/>
      <c r="B40" s="113"/>
      <c r="C40" s="441" t="s">
        <v>50</v>
      </c>
      <c r="D40" s="449">
        <v>0</v>
      </c>
      <c r="E40" s="366" t="s">
        <v>51</v>
      </c>
      <c r="F40" s="94"/>
      <c r="G40" s="94"/>
      <c r="H40" s="415"/>
      <c r="I40" s="88"/>
      <c r="J40" s="266"/>
      <c r="K40" s="111"/>
      <c r="L40" s="43"/>
      <c r="M40" s="43"/>
      <c r="N40" s="43"/>
      <c r="O40" s="43"/>
      <c r="P40" s="43"/>
      <c r="Q40" s="43"/>
    </row>
    <row r="41" spans="1:17" ht="17" customHeight="1" x14ac:dyDescent="0.15">
      <c r="A41" s="102"/>
      <c r="C41" s="88"/>
      <c r="D41" s="88"/>
      <c r="E41" s="104"/>
      <c r="F41" s="88"/>
      <c r="G41" s="88"/>
      <c r="H41" s="88"/>
      <c r="I41" s="105" t="s">
        <v>34</v>
      </c>
      <c r="J41" s="105" t="s">
        <v>32</v>
      </c>
      <c r="K41" s="111"/>
      <c r="L41" s="43"/>
      <c r="M41" s="43"/>
      <c r="N41" s="43"/>
      <c r="O41" s="43"/>
      <c r="P41" s="43"/>
      <c r="Q41" s="43"/>
    </row>
    <row r="42" spans="1:17" x14ac:dyDescent="0.15">
      <c r="A42" s="102"/>
      <c r="B42" s="134" t="s">
        <v>52</v>
      </c>
      <c r="C42" s="134"/>
      <c r="D42" s="134"/>
      <c r="E42" s="88"/>
      <c r="F42" s="88"/>
      <c r="G42" s="88"/>
      <c r="H42" s="88"/>
      <c r="I42" s="88"/>
      <c r="J42" s="88"/>
      <c r="K42" s="111"/>
    </row>
    <row r="43" spans="1:17" ht="17" customHeight="1" x14ac:dyDescent="0.15">
      <c r="A43" s="102"/>
      <c r="B43" s="88"/>
      <c r="C43" s="77" t="s">
        <v>53</v>
      </c>
      <c r="D43" s="87" t="s">
        <v>34</v>
      </c>
      <c r="E43" s="462" t="s">
        <v>54</v>
      </c>
      <c r="F43" s="463"/>
      <c r="G43" s="463"/>
      <c r="H43" s="463"/>
      <c r="I43" s="463"/>
      <c r="J43" s="463"/>
      <c r="K43" s="111"/>
    </row>
    <row r="44" spans="1:17" ht="17" customHeight="1" x14ac:dyDescent="0.15">
      <c r="A44" s="102"/>
      <c r="B44" s="88"/>
      <c r="C44" s="78" t="s">
        <v>55</v>
      </c>
      <c r="D44" s="450">
        <v>10</v>
      </c>
      <c r="E44" s="327" t="s">
        <v>56</v>
      </c>
      <c r="F44" s="133"/>
      <c r="G44" s="133"/>
      <c r="H44" s="133"/>
      <c r="I44" s="133"/>
      <c r="J44" s="133"/>
      <c r="K44" s="111"/>
    </row>
    <row r="45" spans="1:17" ht="17" customHeight="1" x14ac:dyDescent="0.15">
      <c r="A45" s="102"/>
      <c r="B45" s="88"/>
      <c r="C45" s="79" t="s">
        <v>57</v>
      </c>
      <c r="D45" s="450">
        <v>10</v>
      </c>
      <c r="E45" s="119" t="s">
        <v>58</v>
      </c>
      <c r="F45" s="88"/>
      <c r="G45" s="88"/>
      <c r="H45" s="88"/>
      <c r="I45" s="88"/>
      <c r="J45" s="88"/>
      <c r="K45" s="111"/>
    </row>
    <row r="46" spans="1:17" ht="16" customHeight="1" x14ac:dyDescent="0.15">
      <c r="A46" s="102"/>
      <c r="B46" s="88"/>
      <c r="C46" s="88"/>
      <c r="D46" s="88"/>
      <c r="E46" s="88"/>
      <c r="F46" s="88"/>
      <c r="G46" s="88"/>
      <c r="H46" s="89"/>
      <c r="I46" s="88"/>
      <c r="J46" s="88"/>
      <c r="K46" s="111"/>
    </row>
    <row r="47" spans="1:17" x14ac:dyDescent="0.15">
      <c r="A47" s="102"/>
      <c r="B47" s="116" t="s">
        <v>59</v>
      </c>
      <c r="C47" s="116"/>
      <c r="D47" s="116"/>
      <c r="E47" s="88"/>
      <c r="F47" s="88"/>
      <c r="G47" s="88"/>
      <c r="H47" s="88"/>
      <c r="I47" s="88"/>
      <c r="J47" s="88"/>
      <c r="K47" s="111"/>
    </row>
    <row r="48" spans="1:17" x14ac:dyDescent="0.15">
      <c r="A48" s="102"/>
      <c r="B48" s="61"/>
      <c r="C48" s="365" t="s">
        <v>60</v>
      </c>
      <c r="D48" s="451">
        <v>0.85</v>
      </c>
      <c r="E48" s="112" t="s">
        <v>61</v>
      </c>
      <c r="F48" s="88"/>
      <c r="G48" s="88"/>
      <c r="H48" s="88"/>
      <c r="I48" s="88"/>
      <c r="J48" s="88"/>
      <c r="K48" s="111"/>
    </row>
    <row r="49" spans="1:28" x14ac:dyDescent="0.15">
      <c r="A49" s="102"/>
      <c r="B49" s="113"/>
      <c r="C49" s="365" t="s">
        <v>62</v>
      </c>
      <c r="D49" s="451">
        <v>0.03</v>
      </c>
      <c r="E49" s="112" t="s">
        <v>63</v>
      </c>
      <c r="F49" s="88"/>
      <c r="G49" s="88"/>
      <c r="H49" s="88"/>
      <c r="I49" s="88"/>
      <c r="J49" s="88"/>
      <c r="K49" s="111"/>
    </row>
    <row r="50" spans="1:28" x14ac:dyDescent="0.15">
      <c r="A50" s="102"/>
      <c r="B50" s="113"/>
      <c r="C50" s="117"/>
      <c r="D50" s="88"/>
      <c r="E50" s="90"/>
      <c r="F50" s="112"/>
      <c r="G50" s="88"/>
      <c r="H50" s="88"/>
      <c r="I50" s="88"/>
      <c r="J50" s="88"/>
      <c r="K50" s="111"/>
    </row>
    <row r="51" spans="1:28" x14ac:dyDescent="0.15">
      <c r="A51" s="102"/>
      <c r="B51" s="116" t="s">
        <v>64</v>
      </c>
      <c r="C51" s="116"/>
      <c r="D51" s="116"/>
      <c r="E51" s="90"/>
      <c r="F51" s="112"/>
      <c r="G51" s="88"/>
      <c r="H51" s="88"/>
      <c r="I51" s="88"/>
      <c r="J51" s="88"/>
      <c r="K51" s="111"/>
    </row>
    <row r="52" spans="1:28" x14ac:dyDescent="0.15">
      <c r="A52" s="102"/>
      <c r="B52" s="133" t="s">
        <v>65</v>
      </c>
      <c r="C52" s="117"/>
      <c r="D52" s="88"/>
      <c r="E52" s="88"/>
      <c r="F52" s="88"/>
      <c r="G52" s="111"/>
      <c r="K52" s="111"/>
    </row>
    <row r="53" spans="1:28" ht="28" customHeight="1" x14ac:dyDescent="0.15">
      <c r="A53" s="102"/>
      <c r="B53" s="88"/>
      <c r="C53" s="141" t="s">
        <v>66</v>
      </c>
      <c r="D53" s="141" t="s">
        <v>67</v>
      </c>
      <c r="E53" s="142" t="s">
        <v>68</v>
      </c>
      <c r="F53" s="88"/>
      <c r="G53" s="104"/>
      <c r="H53" s="104"/>
      <c r="I53" s="104"/>
      <c r="J53" s="104"/>
      <c r="K53" s="111"/>
    </row>
    <row r="54" spans="1:28" x14ac:dyDescent="0.15">
      <c r="A54" s="102"/>
      <c r="B54" s="268" t="s">
        <v>0</v>
      </c>
      <c r="C54" s="452">
        <v>0</v>
      </c>
      <c r="D54" s="452">
        <v>0</v>
      </c>
      <c r="E54" s="213">
        <f>B11-D54-C54</f>
        <v>1</v>
      </c>
      <c r="F54" s="88"/>
      <c r="G54" s="88"/>
      <c r="H54" s="88"/>
      <c r="I54" s="88"/>
      <c r="J54" s="88"/>
      <c r="K54" s="111"/>
    </row>
    <row r="55" spans="1:28" x14ac:dyDescent="0.15">
      <c r="A55" s="102"/>
      <c r="B55" s="269" t="s">
        <v>1</v>
      </c>
      <c r="C55" s="452">
        <v>1</v>
      </c>
      <c r="D55" s="452"/>
      <c r="E55" s="213">
        <f>B12-D55-C55</f>
        <v>1</v>
      </c>
      <c r="F55" s="88"/>
      <c r="G55" s="88"/>
      <c r="H55" s="88"/>
      <c r="I55" s="88"/>
      <c r="J55" s="88"/>
      <c r="K55" s="111"/>
    </row>
    <row r="56" spans="1:28" x14ac:dyDescent="0.15">
      <c r="A56" s="102"/>
      <c r="B56" s="269" t="s">
        <v>2</v>
      </c>
      <c r="C56" s="452">
        <v>1</v>
      </c>
      <c r="D56" s="452">
        <v>0</v>
      </c>
      <c r="E56" s="213">
        <f>B13-D56-C56</f>
        <v>1</v>
      </c>
      <c r="F56" s="88"/>
      <c r="G56" s="88"/>
      <c r="H56" s="88"/>
      <c r="I56" s="88"/>
      <c r="J56" s="88"/>
      <c r="K56" s="111"/>
    </row>
    <row r="57" spans="1:28" x14ac:dyDescent="0.15">
      <c r="A57" s="102"/>
      <c r="B57" s="269" t="s">
        <v>3</v>
      </c>
      <c r="C57" s="452">
        <v>1</v>
      </c>
      <c r="D57" s="452">
        <v>0</v>
      </c>
      <c r="E57" s="213">
        <f>B14-D57-C57</f>
        <v>0</v>
      </c>
      <c r="F57" s="88"/>
      <c r="G57" s="88"/>
      <c r="H57" s="88"/>
      <c r="I57" s="88"/>
      <c r="J57" s="88"/>
      <c r="K57" s="111"/>
    </row>
    <row r="58" spans="1:28" ht="14" thickBot="1" x14ac:dyDescent="0.2">
      <c r="A58" s="102"/>
      <c r="B58" s="270" t="s">
        <v>69</v>
      </c>
      <c r="C58" s="41">
        <f>SUM(C54:C57)</f>
        <v>3</v>
      </c>
      <c r="D58" s="41">
        <f>SUM(D54:D57)</f>
        <v>0</v>
      </c>
      <c r="E58" s="213">
        <f>B15-D58-C58</f>
        <v>3</v>
      </c>
      <c r="F58" s="88"/>
      <c r="G58" s="88"/>
      <c r="H58" s="88"/>
      <c r="I58" s="88"/>
      <c r="J58" s="88"/>
      <c r="K58" s="111"/>
    </row>
    <row r="59" spans="1:28" x14ac:dyDescent="0.15">
      <c r="A59" s="102"/>
      <c r="B59" s="136"/>
      <c r="C59" s="139" t="s">
        <v>70</v>
      </c>
      <c r="D59" s="137">
        <f>SUM(C58:D58)</f>
        <v>3</v>
      </c>
      <c r="E59" s="88"/>
      <c r="F59" s="88"/>
      <c r="G59" s="88"/>
      <c r="H59" s="88"/>
      <c r="I59" s="88"/>
      <c r="J59" s="88"/>
      <c r="K59" s="111"/>
    </row>
    <row r="60" spans="1:28" ht="16" customHeight="1" thickBot="1" x14ac:dyDescent="0.2">
      <c r="A60" s="102"/>
      <c r="B60" s="138"/>
      <c r="C60" s="140" t="s">
        <v>71</v>
      </c>
      <c r="D60" s="143">
        <f>D59/B15</f>
        <v>0.5</v>
      </c>
      <c r="E60" s="88"/>
      <c r="F60" s="88"/>
      <c r="G60" s="88"/>
      <c r="H60" s="88"/>
      <c r="I60" s="88"/>
      <c r="J60" s="88"/>
      <c r="K60" s="111"/>
      <c r="N60" s="4"/>
      <c r="O60" s="8"/>
    </row>
    <row r="61" spans="1:28" ht="9" customHeight="1" x14ac:dyDescent="0.15">
      <c r="A61" s="102"/>
      <c r="B61" s="112"/>
      <c r="C61" s="367"/>
      <c r="D61" s="98"/>
      <c r="E61" s="88"/>
      <c r="F61" s="88"/>
      <c r="G61" s="88"/>
      <c r="H61" s="88"/>
      <c r="I61" s="88"/>
      <c r="J61" s="88"/>
      <c r="K61" s="111"/>
      <c r="N61" s="4"/>
      <c r="O61" s="8"/>
    </row>
    <row r="62" spans="1:28" x14ac:dyDescent="0.15">
      <c r="A62" s="102"/>
      <c r="B62" s="103" t="s">
        <v>72</v>
      </c>
      <c r="C62" s="368" t="s">
        <v>73</v>
      </c>
      <c r="D62" s="453">
        <v>0</v>
      </c>
      <c r="E62" s="88"/>
      <c r="F62" s="88"/>
      <c r="G62" s="88"/>
      <c r="H62" s="88"/>
      <c r="I62" s="88"/>
      <c r="J62" s="88"/>
      <c r="K62" s="111"/>
      <c r="N62" s="4"/>
      <c r="O62" s="8"/>
    </row>
    <row r="63" spans="1:28" ht="16" customHeight="1" x14ac:dyDescent="0.15">
      <c r="A63" s="102"/>
      <c r="B63" s="88"/>
      <c r="C63" s="88"/>
      <c r="D63" s="88"/>
      <c r="E63" s="98"/>
      <c r="F63" s="88"/>
      <c r="G63" s="88"/>
      <c r="H63" s="88"/>
      <c r="I63" s="88"/>
      <c r="J63" s="88"/>
      <c r="K63" s="111"/>
      <c r="N63" s="4"/>
      <c r="O63" s="8"/>
    </row>
    <row r="64" spans="1:28" ht="16" x14ac:dyDescent="0.15">
      <c r="A64" s="179"/>
      <c r="B64" s="369"/>
      <c r="C64" s="369"/>
      <c r="D64" s="370"/>
      <c r="E64" s="369"/>
      <c r="F64" s="369"/>
      <c r="G64" s="369"/>
      <c r="H64" s="369"/>
      <c r="I64" s="369"/>
      <c r="J64" s="369"/>
      <c r="K64" s="371"/>
      <c r="N64" s="4"/>
      <c r="O64" s="8"/>
      <c r="Q64" s="8"/>
      <c r="U64" s="456"/>
      <c r="V64" s="45"/>
      <c r="X64" s="457"/>
      <c r="Y64" s="8"/>
      <c r="Z64" s="458"/>
      <c r="AA64" s="8"/>
      <c r="AB64" s="8"/>
    </row>
    <row r="65" spans="1:28" ht="17" thickBot="1" x14ac:dyDescent="0.2">
      <c r="A65" s="102"/>
      <c r="B65" s="112"/>
      <c r="C65" s="367"/>
      <c r="D65" s="98"/>
      <c r="E65" s="88"/>
      <c r="F65" s="88"/>
      <c r="G65" s="88"/>
      <c r="H65" s="88"/>
      <c r="I65" s="88"/>
      <c r="J65" s="88"/>
      <c r="K65" s="111"/>
      <c r="N65" s="4"/>
      <c r="O65" s="8"/>
      <c r="Q65" s="8"/>
      <c r="U65" s="456"/>
      <c r="V65" s="45"/>
      <c r="X65" s="457"/>
      <c r="Y65" s="8"/>
      <c r="Z65" s="458"/>
      <c r="AA65" s="8"/>
      <c r="AB65" s="8"/>
    </row>
    <row r="66" spans="1:28" ht="16" customHeight="1" x14ac:dyDescent="0.15">
      <c r="A66" s="102"/>
      <c r="B66" s="372" t="s">
        <v>74</v>
      </c>
      <c r="C66" s="373"/>
      <c r="D66" s="88"/>
      <c r="E66" s="374" t="s">
        <v>75</v>
      </c>
      <c r="F66" s="121"/>
      <c r="G66" s="122" t="s">
        <v>76</v>
      </c>
      <c r="H66" s="122" t="s">
        <v>77</v>
      </c>
      <c r="I66" s="123" t="s">
        <v>78</v>
      </c>
      <c r="J66" s="88"/>
      <c r="K66" s="111"/>
      <c r="O66" s="8"/>
      <c r="Q66" s="8"/>
      <c r="V66" s="45"/>
      <c r="X66" s="457"/>
      <c r="Y66" s="8"/>
      <c r="Z66" s="458"/>
      <c r="AA66" s="8"/>
      <c r="AB66" s="8"/>
    </row>
    <row r="67" spans="1:28" ht="16" x14ac:dyDescent="0.15">
      <c r="A67" s="102"/>
      <c r="B67" s="375"/>
      <c r="C67" s="376"/>
      <c r="D67" s="88"/>
      <c r="E67" s="124"/>
      <c r="F67" s="377" t="str">
        <f>'Quality Home Profile'!B7</f>
        <v>Infants</v>
      </c>
      <c r="G67" s="378">
        <f>'Quality Home Profile'!C7</f>
        <v>18512.889075315001</v>
      </c>
      <c r="H67" s="378">
        <f>G67/12</f>
        <v>1542.7407562762501</v>
      </c>
      <c r="I67" s="125">
        <f>G67/52</f>
        <v>356.01709760221155</v>
      </c>
      <c r="J67" s="88"/>
      <c r="K67" s="111"/>
      <c r="Q67" s="8"/>
      <c r="X67" s="457"/>
      <c r="Y67" s="8"/>
      <c r="Z67" s="458"/>
      <c r="AA67" s="8"/>
      <c r="AB67" s="8"/>
    </row>
    <row r="68" spans="1:28" ht="14" x14ac:dyDescent="0.15">
      <c r="A68" s="102"/>
      <c r="B68" s="382" t="s">
        <v>79</v>
      </c>
      <c r="C68" s="409">
        <f>'Quality Home Profile'!A19</f>
        <v>1</v>
      </c>
      <c r="D68" s="88"/>
      <c r="E68" s="124"/>
      <c r="F68" s="377" t="str">
        <f>'Quality Home Profile'!B8</f>
        <v>Toddlers</v>
      </c>
      <c r="G68" s="378">
        <f>'Quality Home Profile'!C8</f>
        <v>18512.889075315001</v>
      </c>
      <c r="H68" s="378">
        <f>G68/12</f>
        <v>1542.7407562762501</v>
      </c>
      <c r="I68" s="125">
        <f>G68/52</f>
        <v>356.01709760221155</v>
      </c>
      <c r="J68" s="88"/>
      <c r="K68" s="111"/>
      <c r="Q68" s="8"/>
    </row>
    <row r="69" spans="1:28" ht="14" x14ac:dyDescent="0.15">
      <c r="A69" s="102"/>
      <c r="B69" s="375"/>
      <c r="C69" s="376"/>
      <c r="D69" s="88"/>
      <c r="E69" s="124"/>
      <c r="F69" s="377" t="str">
        <f>'Quality Home Profile'!B9</f>
        <v>Preschoolers</v>
      </c>
      <c r="G69" s="378">
        <f>'Quality Home Profile'!C9</f>
        <v>18512.889075315001</v>
      </c>
      <c r="H69" s="378">
        <f>G69/12</f>
        <v>1542.7407562762501</v>
      </c>
      <c r="I69" s="125">
        <f>G69/52</f>
        <v>356.01709760221155</v>
      </c>
      <c r="J69" s="88"/>
      <c r="K69" s="111"/>
    </row>
    <row r="70" spans="1:28" ht="15" thickBot="1" x14ac:dyDescent="0.2">
      <c r="A70" s="102"/>
      <c r="B70" s="379" t="s">
        <v>80</v>
      </c>
      <c r="C70" s="376"/>
      <c r="D70" s="88"/>
      <c r="E70" s="124"/>
      <c r="F70" s="377" t="str">
        <f>'Quality Home Profile'!B10</f>
        <v>School age</v>
      </c>
      <c r="G70" s="378">
        <f>'Quality Home Profile'!C10</f>
        <v>10284.938375174999</v>
      </c>
      <c r="H70" s="378">
        <f t="shared" ref="H70" si="0">G70/12</f>
        <v>857.07819793124997</v>
      </c>
      <c r="I70" s="125">
        <f t="shared" ref="I70" si="1">G70/52</f>
        <v>197.78727644567306</v>
      </c>
      <c r="J70" s="88"/>
      <c r="K70" s="111"/>
      <c r="L70" s="81" t="s">
        <v>4</v>
      </c>
      <c r="M70" s="81" t="s">
        <v>81</v>
      </c>
      <c r="N70" s="81" t="s">
        <v>82</v>
      </c>
    </row>
    <row r="71" spans="1:28" ht="15" thickBot="1" x14ac:dyDescent="0.2">
      <c r="A71" s="102"/>
      <c r="B71" s="380" t="s">
        <v>83</v>
      </c>
      <c r="C71" s="381">
        <f>'Quality Home Profile'!D26</f>
        <v>61001.64</v>
      </c>
      <c r="D71" s="88"/>
      <c r="E71" s="99"/>
      <c r="F71" s="99"/>
      <c r="G71" s="99"/>
      <c r="H71" s="99"/>
      <c r="I71" s="99"/>
      <c r="J71" s="88"/>
      <c r="K71" s="111"/>
      <c r="M71" s="81"/>
      <c r="N71" s="81"/>
      <c r="O71" s="81"/>
      <c r="P71" s="81"/>
      <c r="Q71" s="81"/>
    </row>
    <row r="72" spans="1:28" ht="14" x14ac:dyDescent="0.15">
      <c r="A72" s="102"/>
      <c r="B72" s="380" t="s">
        <v>84</v>
      </c>
      <c r="C72" s="381">
        <f>SUM('Quality Home Profile'!D33,'Quality Home Profile'!D39)</f>
        <v>15828.66646</v>
      </c>
      <c r="D72" s="88"/>
      <c r="E72" s="385" t="s">
        <v>85</v>
      </c>
      <c r="F72" s="386"/>
      <c r="G72" s="387" t="s">
        <v>77</v>
      </c>
      <c r="H72" s="486" t="s">
        <v>86</v>
      </c>
      <c r="I72" s="487"/>
      <c r="J72" s="88"/>
      <c r="K72" s="111"/>
      <c r="M72" s="81"/>
      <c r="N72" s="81"/>
      <c r="O72" s="81"/>
      <c r="P72" s="81"/>
      <c r="Q72" s="81"/>
    </row>
    <row r="73" spans="1:28" ht="14" x14ac:dyDescent="0.15">
      <c r="A73" s="102"/>
      <c r="B73" s="382" t="s">
        <v>87</v>
      </c>
      <c r="C73" s="383">
        <f>SUM(C71:C72)</f>
        <v>76830.306459999993</v>
      </c>
      <c r="D73" s="88"/>
      <c r="E73" s="388" t="s">
        <v>88</v>
      </c>
      <c r="F73" s="413" t="str">
        <f>F67</f>
        <v>Infants</v>
      </c>
      <c r="G73" s="414">
        <f>IF(G67&gt;0,'Subsidy Rates'!D3,0)</f>
        <v>964.16666666666663</v>
      </c>
      <c r="H73" s="488">
        <f>G73-H67</f>
        <v>-578.57408960958344</v>
      </c>
      <c r="I73" s="488"/>
      <c r="J73" s="88"/>
      <c r="K73" s="111"/>
      <c r="M73" s="81"/>
      <c r="N73" s="81" t="str">
        <f>H72</f>
        <v>Gap - subsidy and cost</v>
      </c>
      <c r="O73" s="81" t="str">
        <f>H78</f>
        <v>Gap - price and cost</v>
      </c>
      <c r="P73" s="81"/>
      <c r="Q73" s="81"/>
    </row>
    <row r="74" spans="1:28" ht="14" x14ac:dyDescent="0.15">
      <c r="A74" s="102"/>
      <c r="B74" s="380" t="s">
        <v>89</v>
      </c>
      <c r="C74" s="384">
        <f>QualityVarCost</f>
        <v>0</v>
      </c>
      <c r="D74" s="88"/>
      <c r="E74" s="443"/>
      <c r="F74" s="413" t="str">
        <f>F68</f>
        <v>Toddlers</v>
      </c>
      <c r="G74" s="414">
        <f>IF(G68&gt;0,'Subsidy Rates'!D4,0)</f>
        <v>866.66666666666663</v>
      </c>
      <c r="H74" s="488">
        <f>G74-H68</f>
        <v>-676.07408960958344</v>
      </c>
      <c r="I74" s="488"/>
      <c r="J74" s="88"/>
      <c r="K74" s="111"/>
      <c r="M74" s="81" t="str">
        <f>F73</f>
        <v>Infants</v>
      </c>
      <c r="N74" s="459">
        <f>H73</f>
        <v>-578.57408960958344</v>
      </c>
      <c r="O74" s="459">
        <f>H79</f>
        <v>-459.40742294291681</v>
      </c>
      <c r="P74" s="81"/>
      <c r="Q74" s="81"/>
    </row>
    <row r="75" spans="1:28" ht="14" x14ac:dyDescent="0.15">
      <c r="A75" s="102"/>
      <c r="B75" s="380" t="s">
        <v>90</v>
      </c>
      <c r="C75" s="384">
        <f>'Quality Home Profile'!D54</f>
        <v>4839.0200000000004</v>
      </c>
      <c r="D75" s="88"/>
      <c r="E75" s="389"/>
      <c r="F75" s="413" t="str">
        <f>F69</f>
        <v>Preschoolers</v>
      </c>
      <c r="G75" s="414">
        <f>IF(G69&gt;0,'Subsidy Rates'!D5,0)</f>
        <v>866.66666666666663</v>
      </c>
      <c r="H75" s="488">
        <f>G75-H69</f>
        <v>-676.07408960958344</v>
      </c>
      <c r="I75" s="488"/>
      <c r="J75" s="88"/>
      <c r="K75" s="111"/>
      <c r="M75" s="81" t="str">
        <f t="shared" ref="M75:M77" si="2">F74</f>
        <v>Toddlers</v>
      </c>
      <c r="N75" s="459">
        <f t="shared" ref="N75:N77" si="3">H74</f>
        <v>-676.07408960958344</v>
      </c>
      <c r="O75" s="459">
        <f t="shared" ref="O75:O77" si="4">H80</f>
        <v>-459.40742294291681</v>
      </c>
      <c r="P75" s="81"/>
      <c r="Q75" s="81"/>
    </row>
    <row r="76" spans="1:28" ht="15" thickBot="1" x14ac:dyDescent="0.2">
      <c r="A76" s="102"/>
      <c r="B76" s="380" t="s">
        <v>91</v>
      </c>
      <c r="C76" s="384">
        <f>'Quality Home Profile'!D55</f>
        <v>10695.509999999998</v>
      </c>
      <c r="D76" s="88"/>
      <c r="E76" s="392"/>
      <c r="F76" s="393" t="str">
        <f>F70</f>
        <v>School age</v>
      </c>
      <c r="G76" s="394">
        <f>IF(G70&gt;0,'Subsidy Rates'!D6,0)</f>
        <v>693.33333333333337</v>
      </c>
      <c r="H76" s="489">
        <f>G76-H70</f>
        <v>-163.7448645979166</v>
      </c>
      <c r="I76" s="489"/>
      <c r="J76" s="88"/>
      <c r="K76" s="111"/>
      <c r="M76" s="81" t="str">
        <f t="shared" si="2"/>
        <v>Preschoolers</v>
      </c>
      <c r="N76" s="459">
        <f t="shared" si="3"/>
        <v>-676.07408960958344</v>
      </c>
      <c r="O76" s="459">
        <f t="shared" si="4"/>
        <v>-524.4074229429167</v>
      </c>
      <c r="P76" s="81"/>
      <c r="Q76" s="81"/>
    </row>
    <row r="77" spans="1:28" ht="15" thickBot="1" x14ac:dyDescent="0.2">
      <c r="A77" s="102"/>
      <c r="B77" s="380" t="s">
        <v>92</v>
      </c>
      <c r="C77" s="384">
        <f>'Quality Home Profile'!D56</f>
        <v>5586.9575892857147</v>
      </c>
      <c r="D77" s="88"/>
      <c r="E77" s="88"/>
      <c r="F77" s="88"/>
      <c r="G77" s="88"/>
      <c r="H77" s="88"/>
      <c r="I77" s="88"/>
      <c r="J77" s="88"/>
      <c r="K77" s="111"/>
      <c r="M77" s="81" t="str">
        <f t="shared" si="2"/>
        <v>School age</v>
      </c>
      <c r="N77" s="459">
        <f t="shared" si="3"/>
        <v>-163.7448645979166</v>
      </c>
      <c r="O77" s="459">
        <f t="shared" si="4"/>
        <v>-337.07819793124997</v>
      </c>
      <c r="P77" s="81"/>
      <c r="Q77" s="81"/>
    </row>
    <row r="78" spans="1:28" ht="14" x14ac:dyDescent="0.15">
      <c r="A78" s="102"/>
      <c r="B78" s="380" t="s">
        <v>93</v>
      </c>
      <c r="C78" s="384">
        <f>Reserve_Fund</f>
        <v>4897.5897024642854</v>
      </c>
      <c r="D78" s="88"/>
      <c r="E78" s="480" t="s">
        <v>94</v>
      </c>
      <c r="F78" s="481"/>
      <c r="G78" s="395" t="s">
        <v>77</v>
      </c>
      <c r="H78" s="482" t="s">
        <v>95</v>
      </c>
      <c r="I78" s="483"/>
      <c r="J78" s="88"/>
      <c r="K78" s="111"/>
      <c r="M78" s="81"/>
      <c r="N78" s="81"/>
      <c r="O78" s="81"/>
      <c r="P78" s="81"/>
      <c r="Q78" s="81"/>
    </row>
    <row r="79" spans="1:28" ht="14" x14ac:dyDescent="0.15">
      <c r="A79" s="102"/>
      <c r="B79" s="382" t="s">
        <v>96</v>
      </c>
      <c r="C79" s="383">
        <f>SUM(C74:C78)</f>
        <v>26019.07729175</v>
      </c>
      <c r="D79" s="88"/>
      <c r="E79" s="396" t="s">
        <v>88</v>
      </c>
      <c r="F79" s="411" t="str">
        <f>F73</f>
        <v>Infants</v>
      </c>
      <c r="G79" s="412">
        <f>IF(G67&gt;0,IF(E$80="New Castle",'Tuition Rates'!D3,IF(E$80="Kent",'Tuition Rates'!D11,IF(E$80="Sussex",'Tuition Rates'!D19,))),0)</f>
        <v>1083.3333333333333</v>
      </c>
      <c r="H79" s="484">
        <f>G79-H67</f>
        <v>-459.40742294291681</v>
      </c>
      <c r="I79" s="485"/>
      <c r="J79" s="88"/>
      <c r="K79" s="111"/>
      <c r="M79" s="81"/>
      <c r="N79" s="81"/>
      <c r="O79" s="81"/>
      <c r="P79" s="81"/>
      <c r="Q79" s="81"/>
    </row>
    <row r="80" spans="1:28" ht="14" x14ac:dyDescent="0.15">
      <c r="A80" s="102"/>
      <c r="B80" s="390" t="s">
        <v>97</v>
      </c>
      <c r="C80" s="391">
        <f>SUM(C73,C79)</f>
        <v>102849.38375174999</v>
      </c>
      <c r="D80" s="88"/>
      <c r="E80" s="454" t="s">
        <v>4</v>
      </c>
      <c r="F80" s="411" t="str">
        <f>F74</f>
        <v>Toddlers</v>
      </c>
      <c r="G80" s="412">
        <f>IF(G68&gt;0,IF(E$80="New Castle",'Tuition Rates'!D4,IF(E$80="Kent",'Tuition Rates'!D12,IF(E$80="Sussex",'Tuition Rates'!D20,))),0)</f>
        <v>1083.3333333333333</v>
      </c>
      <c r="H80" s="484">
        <f>G80-H68</f>
        <v>-459.40742294291681</v>
      </c>
      <c r="I80" s="485"/>
      <c r="J80" s="88"/>
      <c r="K80" s="111"/>
      <c r="M80" s="81"/>
      <c r="N80" s="81"/>
      <c r="O80" s="81"/>
      <c r="P80" s="81"/>
      <c r="Q80" s="81"/>
    </row>
    <row r="81" spans="1:17" ht="14" x14ac:dyDescent="0.15">
      <c r="A81" s="102"/>
      <c r="B81" s="375"/>
      <c r="C81" s="376"/>
      <c r="D81" s="88"/>
      <c r="E81" s="397"/>
      <c r="F81" s="411" t="str">
        <f>F75</f>
        <v>Preschoolers</v>
      </c>
      <c r="G81" s="412">
        <f>IF(G69&gt;0,IF(E$80="New Castle",'Tuition Rates'!D5,IF(E$80="Kent",'Tuition Rates'!D13,IF(E$80="Sussex",'Tuition Rates'!D21,))),0)</f>
        <v>1018.3333333333334</v>
      </c>
      <c r="H81" s="484">
        <f>G81-H69</f>
        <v>-524.4074229429167</v>
      </c>
      <c r="I81" s="485"/>
      <c r="J81" s="88"/>
      <c r="K81" s="111"/>
      <c r="M81" s="81"/>
      <c r="N81" s="81"/>
      <c r="O81" s="81"/>
      <c r="P81" s="81"/>
      <c r="Q81" s="81"/>
    </row>
    <row r="82" spans="1:17" ht="15" customHeight="1" thickBot="1" x14ac:dyDescent="0.2">
      <c r="A82" s="102"/>
      <c r="B82" s="379" t="s">
        <v>98</v>
      </c>
      <c r="C82" s="376"/>
      <c r="D82" s="88"/>
      <c r="E82" s="400"/>
      <c r="F82" s="401" t="str">
        <f>F76</f>
        <v>School age</v>
      </c>
      <c r="G82" s="402">
        <f>IF(G70&gt;0,IF(E$80="New Castle",'Tuition Rates'!D6,IF(E$80="Kent",'Tuition Rates'!D14,IF(E$80="Sussex",'Tuition Rates'!D22,))),0)</f>
        <v>520</v>
      </c>
      <c r="H82" s="494">
        <f>G82-H70</f>
        <v>-337.07819793124997</v>
      </c>
      <c r="I82" s="495"/>
      <c r="J82" s="88"/>
      <c r="K82" s="111"/>
    </row>
    <row r="83" spans="1:17" ht="14" x14ac:dyDescent="0.15">
      <c r="A83" s="88"/>
      <c r="B83" s="375" t="s">
        <v>99</v>
      </c>
      <c r="C83" s="381">
        <f>'Quality Home Profile'!D67</f>
        <v>7558.2000000000007</v>
      </c>
      <c r="D83" s="88"/>
      <c r="E83" s="88"/>
      <c r="F83" s="88"/>
      <c r="G83" s="88"/>
      <c r="H83" s="88"/>
      <c r="I83" s="88"/>
      <c r="J83" s="88"/>
      <c r="K83" s="111"/>
    </row>
    <row r="84" spans="1:17" ht="14" customHeight="1" x14ac:dyDescent="0.15">
      <c r="A84" s="102"/>
      <c r="B84" s="375" t="s">
        <v>100</v>
      </c>
      <c r="C84" s="381">
        <f>SUM('Quality Home Profile'!D72:D79)</f>
        <v>29120</v>
      </c>
      <c r="D84" s="88"/>
      <c r="E84" s="88"/>
      <c r="F84" s="88"/>
      <c r="G84" s="88"/>
      <c r="H84" s="88"/>
      <c r="I84" s="88"/>
      <c r="J84" s="88"/>
      <c r="K84" s="111"/>
    </row>
    <row r="85" spans="1:17" ht="14" x14ac:dyDescent="0.15">
      <c r="A85" s="102"/>
      <c r="B85" s="375" t="s">
        <v>101</v>
      </c>
      <c r="C85" s="381">
        <f>SUM('Quality Home Profile'!D68:D71)</f>
        <v>38220</v>
      </c>
      <c r="D85" s="88"/>
      <c r="E85" s="88"/>
      <c r="F85" s="88"/>
      <c r="G85" s="88"/>
      <c r="H85" s="88"/>
      <c r="I85" s="88"/>
      <c r="J85" s="88"/>
      <c r="K85" s="111"/>
    </row>
    <row r="86" spans="1:17" ht="14" x14ac:dyDescent="0.15">
      <c r="A86" s="102"/>
      <c r="B86" s="375" t="s">
        <v>102</v>
      </c>
      <c r="C86" s="381">
        <f>'Quality Home Profile'!D80</f>
        <v>0</v>
      </c>
      <c r="D86" s="88"/>
      <c r="E86" s="88"/>
      <c r="F86" s="88"/>
      <c r="G86" s="88"/>
      <c r="H86" s="88"/>
      <c r="I86" s="88"/>
      <c r="J86" s="88"/>
      <c r="K86" s="111"/>
    </row>
    <row r="87" spans="1:17" ht="14" x14ac:dyDescent="0.15">
      <c r="A87" s="102"/>
      <c r="B87" s="382" t="s">
        <v>103</v>
      </c>
      <c r="C87" s="398">
        <f>SUM(C83:C86)</f>
        <v>74898.2</v>
      </c>
      <c r="D87" s="88"/>
      <c r="E87" s="88"/>
      <c r="F87" s="88"/>
      <c r="G87" s="88"/>
      <c r="H87" s="88"/>
      <c r="I87" s="88"/>
      <c r="J87" s="88"/>
      <c r="K87" s="111"/>
    </row>
    <row r="88" spans="1:17" ht="17" customHeight="1" x14ac:dyDescent="0.15">
      <c r="A88" s="102"/>
      <c r="B88" s="496" t="s">
        <v>104</v>
      </c>
      <c r="C88" s="399"/>
      <c r="D88" s="88"/>
      <c r="E88" s="88"/>
      <c r="F88" s="88"/>
      <c r="G88" s="88"/>
      <c r="H88" s="88"/>
      <c r="I88" s="88"/>
      <c r="J88" s="88"/>
      <c r="K88" s="111"/>
    </row>
    <row r="89" spans="1:17" ht="16" customHeight="1" x14ac:dyDescent="0.15">
      <c r="A89" s="102"/>
      <c r="B89" s="497"/>
      <c r="C89" s="403">
        <f>SUM('Quality Home Profile'!D84:D85)</f>
        <v>13144.634100000001</v>
      </c>
      <c r="D89" s="88"/>
      <c r="E89" s="88"/>
      <c r="F89" s="88"/>
      <c r="G89" s="88"/>
      <c r="H89" s="88"/>
      <c r="I89" s="88"/>
      <c r="J89" s="88"/>
      <c r="K89" s="111"/>
    </row>
    <row r="90" spans="1:17" ht="19" customHeight="1" x14ac:dyDescent="0.15">
      <c r="A90" s="102"/>
      <c r="B90" s="375"/>
      <c r="C90" s="376"/>
      <c r="D90" s="88"/>
      <c r="E90" s="88"/>
      <c r="F90" s="88"/>
      <c r="G90" s="88"/>
      <c r="H90" s="88"/>
      <c r="I90" s="88"/>
      <c r="J90" s="88"/>
      <c r="K90" s="111"/>
    </row>
    <row r="91" spans="1:17" ht="13" customHeight="1" x14ac:dyDescent="0.15">
      <c r="A91" s="88"/>
      <c r="B91" s="490" t="str">
        <f>'Quality Home Profile'!B87</f>
        <v>Annual Revenue less Expenses profit/(loss)</v>
      </c>
      <c r="C91" s="492">
        <f>'Quality Home Profile'!D87</f>
        <v>-41095.817851749991</v>
      </c>
      <c r="D91" s="88"/>
      <c r="E91" s="88"/>
      <c r="F91" s="88"/>
      <c r="G91" s="88"/>
      <c r="H91" s="88"/>
      <c r="I91" s="88"/>
      <c r="J91" s="88"/>
      <c r="K91" s="111"/>
    </row>
    <row r="92" spans="1:17" ht="19" customHeight="1" x14ac:dyDescent="0.15">
      <c r="A92" s="88"/>
      <c r="B92" s="491"/>
      <c r="C92" s="493"/>
      <c r="D92" s="88"/>
      <c r="E92" s="88"/>
      <c r="F92" s="88"/>
      <c r="G92" s="88"/>
      <c r="H92" s="88"/>
      <c r="I92" s="88"/>
      <c r="J92" s="88"/>
      <c r="K92" s="111"/>
    </row>
    <row r="93" spans="1:17" ht="15" customHeight="1" thickBot="1" x14ac:dyDescent="0.2">
      <c r="A93" s="88"/>
      <c r="B93" s="405" t="s">
        <v>105</v>
      </c>
      <c r="C93" s="406">
        <f>'Quality Home Profile'!E87</f>
        <v>-0.39957281563245867</v>
      </c>
      <c r="D93" s="404"/>
      <c r="E93" s="88"/>
      <c r="F93" s="88"/>
      <c r="G93" s="88"/>
      <c r="H93" s="88"/>
      <c r="I93" s="88"/>
      <c r="J93" s="88"/>
      <c r="K93" s="111"/>
    </row>
    <row r="94" spans="1:17" x14ac:dyDescent="0.15">
      <c r="A94" s="88"/>
      <c r="B94" s="88"/>
      <c r="C94" s="88"/>
      <c r="D94" s="404"/>
      <c r="E94" s="88"/>
      <c r="F94" s="88"/>
      <c r="G94" s="88"/>
      <c r="H94" s="88"/>
      <c r="I94" s="88"/>
      <c r="J94" s="88"/>
      <c r="K94" s="111"/>
    </row>
    <row r="95" spans="1:17" ht="27" customHeight="1" x14ac:dyDescent="0.15">
      <c r="A95" s="88"/>
      <c r="B95" s="88"/>
      <c r="C95" s="88"/>
      <c r="D95" s="88"/>
      <c r="E95" s="88"/>
      <c r="F95" s="88"/>
      <c r="G95" s="88"/>
      <c r="H95" s="88"/>
      <c r="I95" s="88"/>
      <c r="J95" s="88"/>
      <c r="K95" s="111"/>
    </row>
    <row r="96" spans="1:17" ht="14" thickBot="1" x14ac:dyDescent="0.2">
      <c r="A96" s="118"/>
      <c r="B96" s="442" t="s">
        <v>324</v>
      </c>
      <c r="C96" s="118"/>
      <c r="D96" s="118"/>
      <c r="E96" s="118"/>
      <c r="F96" s="118"/>
      <c r="G96" s="118"/>
      <c r="H96" s="118"/>
      <c r="I96" s="118"/>
      <c r="J96" s="118"/>
      <c r="K96" s="127"/>
    </row>
  </sheetData>
  <sheetProtection algorithmName="SHA-512" hashValue="Ymx0F1ctMNMDIrtHEyRxIuTYQ/RtzFWIoTkZMmIlQsLUh1hCFGdj/Qjyom5MyvU+2QCUBBjof4TBv7BfYiKDKA==" saltValue="9QksxmHvnkINn3Vm2ltWVA==" spinCount="100000" sheet="1" objects="1" scenarios="1"/>
  <mergeCells count="32">
    <mergeCell ref="B91:B92"/>
    <mergeCell ref="C91:C92"/>
    <mergeCell ref="H80:I80"/>
    <mergeCell ref="H81:I81"/>
    <mergeCell ref="H82:I82"/>
    <mergeCell ref="B88:B89"/>
    <mergeCell ref="E78:F78"/>
    <mergeCell ref="H78:I78"/>
    <mergeCell ref="H79:I79"/>
    <mergeCell ref="H72:I72"/>
    <mergeCell ref="H73:I73"/>
    <mergeCell ref="H74:I74"/>
    <mergeCell ref="H75:I75"/>
    <mergeCell ref="H76:I76"/>
    <mergeCell ref="D27:G28"/>
    <mergeCell ref="F13:K14"/>
    <mergeCell ref="F10:K12"/>
    <mergeCell ref="B31:C31"/>
    <mergeCell ref="B30:C30"/>
    <mergeCell ref="F15:K15"/>
    <mergeCell ref="D31:E31"/>
    <mergeCell ref="D30:E30"/>
    <mergeCell ref="B36:C36"/>
    <mergeCell ref="E43:J43"/>
    <mergeCell ref="D32:E32"/>
    <mergeCell ref="D35:E35"/>
    <mergeCell ref="D33:E33"/>
    <mergeCell ref="D36:E36"/>
    <mergeCell ref="D34:E34"/>
    <mergeCell ref="B37:C37"/>
    <mergeCell ref="D37:E37"/>
    <mergeCell ref="B34:C34"/>
  </mergeCells>
  <phoneticPr fontId="8" type="noConversion"/>
  <conditionalFormatting sqref="C91 C93">
    <cfRule type="cellIs" dxfId="2" priority="1" operator="lessThan">
      <formula>0</formula>
    </cfRule>
  </conditionalFormatting>
  <dataValidations count="12">
    <dataValidation type="list" allowBlank="1" showInputMessage="1" showErrorMessage="1" sqref="D43" xr:uid="{C2CF9409-A270-DB47-8547-2D1B6985602C}">
      <formula1>$I$41:$J$41</formula1>
    </dataValidation>
    <dataValidation type="whole" allowBlank="1" showInputMessage="1" showErrorMessage="1" errorTitle="Enter a whole number" promptTitle="Enter number of days" prompt="Enter number of days of paid sick leave per year per staff member_x000a_" sqref="D44" xr:uid="{18AE733C-7F46-9946-ACAB-7914FD730588}">
      <formula1>0</formula1>
      <formula2>100</formula2>
    </dataValidation>
    <dataValidation type="list" allowBlank="1" showInputMessage="1" showErrorMessage="1" sqref="C7" xr:uid="{97FA57B7-3921-9B41-B7C4-4A58A64673A1}">
      <formula1>$E$7:$F$7</formula1>
    </dataValidation>
    <dataValidation type="list" allowBlank="1" showInputMessage="1" showErrorMessage="1" sqref="C27" xr:uid="{7B0980EA-FE60-944F-B9FF-460FE27F8A1E}">
      <formula1>$L$27:$M$27</formula1>
    </dataValidation>
    <dataValidation type="list" allowBlank="1" showInputMessage="1" showErrorMessage="1" sqref="D31" xr:uid="{9346FD78-A1A1-814A-B4F2-BAB417AEC142}">
      <formula1>$L$31:$O$31</formula1>
    </dataValidation>
    <dataValidation type="list" allowBlank="1" showInputMessage="1" showErrorMessage="1" sqref="D32" xr:uid="{AB83205E-A133-934C-88E8-83FA1F30A78F}">
      <formula1>$L$32:$O$32</formula1>
    </dataValidation>
    <dataValidation type="list" allowBlank="1" showInputMessage="1" showErrorMessage="1" sqref="D33" xr:uid="{F91958FE-F3B5-7C4E-AD39-C1F138A090F9}">
      <formula1>$L$33:$N$33</formula1>
    </dataValidation>
    <dataValidation type="list" allowBlank="1" showInputMessage="1" showErrorMessage="1" sqref="D35" xr:uid="{FDC428F3-9908-154F-8B59-B9CB57C19618}">
      <formula1>$L$35:$N$35</formula1>
    </dataValidation>
    <dataValidation type="list" allowBlank="1" showInputMessage="1" showErrorMessage="1" sqref="D36" xr:uid="{AA2A8F7C-6F4B-2946-B927-18055C7EB4DE}">
      <formula1>$L$36:$M$36</formula1>
    </dataValidation>
    <dataValidation type="list" allowBlank="1" showInputMessage="1" showErrorMessage="1" sqref="D34:E34" xr:uid="{305BDCD0-2970-9142-8FA4-224DCFC65232}">
      <formula1>$L$34:$O$34</formula1>
    </dataValidation>
    <dataValidation allowBlank="1" showInputMessage="1" showErrorMessage="1" promptTitle="Enter number of days " prompt="Enter number of days paid leave offered to staff per year (not including holidays where program is closed)" sqref="D45" xr:uid="{38DE5AB1-75D8-9E49-87E4-584A9244F140}"/>
    <dataValidation type="list" allowBlank="1" showInputMessage="1" showErrorMessage="1" sqref="E80" xr:uid="{CA4B5FB9-1967-D842-B9CA-EA5217939586}">
      <formula1>$L$70:$N$70</formula1>
    </dataValidation>
  </dataValidations>
  <pageMargins left="0.25" right="0.25" top="0.25" bottom="0.25" header="0.05" footer="0.05"/>
  <pageSetup scale="75" orientation="landscape" horizontalDpi="4294967293" r:id="rId1"/>
  <headerFooter alignWithMargins="0">
    <oddFooter>&amp;CDRAFT - Not for Distribution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A1:T87"/>
  <sheetViews>
    <sheetView zoomScale="114" workbookViewId="0">
      <selection activeCell="F79" sqref="F79"/>
    </sheetView>
  </sheetViews>
  <sheetFormatPr baseColWidth="10" defaultColWidth="8.83203125" defaultRowHeight="13" x14ac:dyDescent="0.15"/>
  <cols>
    <col min="1" max="1" width="7.5" style="14" customWidth="1"/>
    <col min="2" max="2" width="44.5" style="14" customWidth="1"/>
    <col min="3" max="3" width="12.33203125" style="14" customWidth="1"/>
    <col min="4" max="4" width="12.6640625" style="14" customWidth="1"/>
    <col min="5" max="5" width="16.5" style="14" customWidth="1"/>
    <col min="6" max="6" width="12" style="14" customWidth="1"/>
    <col min="7" max="7" width="14.33203125" style="14" customWidth="1"/>
    <col min="8" max="8" width="13.1640625" style="14" customWidth="1"/>
    <col min="9" max="9" width="14.83203125" style="14" customWidth="1"/>
    <col min="10" max="10" width="18" style="14" customWidth="1"/>
    <col min="11" max="12" width="10.5" style="14" customWidth="1"/>
    <col min="13" max="13" width="10" style="14" customWidth="1"/>
    <col min="14" max="14" width="9.5" style="14" customWidth="1"/>
    <col min="15" max="15" width="12.83203125" style="14" customWidth="1"/>
    <col min="16" max="16" width="13.1640625" style="14" customWidth="1"/>
    <col min="17" max="17" width="8.1640625" style="14" customWidth="1"/>
    <col min="18" max="18" width="5.5" style="14" customWidth="1"/>
    <col min="19" max="19" width="11.5" style="14" customWidth="1"/>
    <col min="20" max="16384" width="8.83203125" style="14"/>
  </cols>
  <sheetData>
    <row r="1" spans="1:20" ht="16.5" customHeight="1" x14ac:dyDescent="0.15">
      <c r="A1" s="1" t="s">
        <v>106</v>
      </c>
      <c r="B1" s="189"/>
      <c r="C1" s="1"/>
      <c r="D1" s="1"/>
      <c r="E1" s="1"/>
      <c r="F1" s="1"/>
      <c r="G1" s="1"/>
    </row>
    <row r="2" spans="1:20" x14ac:dyDescent="0.15">
      <c r="A2" s="2"/>
      <c r="B2" s="2" t="s">
        <v>107</v>
      </c>
      <c r="E2" s="190"/>
      <c r="F2" s="14" t="s">
        <v>108</v>
      </c>
    </row>
    <row r="3" spans="1:20" x14ac:dyDescent="0.15">
      <c r="A3" s="2"/>
      <c r="B3" s="2" t="s">
        <v>109</v>
      </c>
      <c r="E3" s="191"/>
      <c r="F3" s="14" t="s">
        <v>110</v>
      </c>
    </row>
    <row r="4" spans="1:20" x14ac:dyDescent="0.15">
      <c r="A4" s="11" t="s">
        <v>111</v>
      </c>
      <c r="B4" s="192"/>
      <c r="C4" s="192"/>
      <c r="D4" s="192"/>
      <c r="E4" s="192"/>
      <c r="F4" s="192"/>
      <c r="G4" s="192"/>
      <c r="H4" s="193"/>
      <c r="I4" s="193"/>
    </row>
    <row r="5" spans="1:20" x14ac:dyDescent="0.15">
      <c r="K5" s="84"/>
      <c r="L5" s="84"/>
      <c r="M5" s="84"/>
      <c r="N5" s="84"/>
      <c r="O5" s="84"/>
      <c r="P5" s="2"/>
    </row>
    <row r="6" spans="1:20" ht="25.5" customHeight="1" x14ac:dyDescent="0.15">
      <c r="B6" s="1" t="s">
        <v>112</v>
      </c>
      <c r="C6" s="47" t="s">
        <v>113</v>
      </c>
      <c r="D6" s="1" t="s">
        <v>77</v>
      </c>
      <c r="E6" s="1" t="s">
        <v>114</v>
      </c>
      <c r="G6" s="285" t="s">
        <v>115</v>
      </c>
      <c r="H6" s="286" t="s">
        <v>116</v>
      </c>
      <c r="I6" s="287"/>
      <c r="J6" s="288"/>
      <c r="K6" s="170"/>
      <c r="L6" s="170"/>
      <c r="M6" s="170"/>
      <c r="N6" s="170"/>
      <c r="O6" s="170"/>
      <c r="P6" s="170"/>
    </row>
    <row r="7" spans="1:20" ht="14" customHeight="1" x14ac:dyDescent="0.15">
      <c r="A7" s="14">
        <f>'VariablesINPUT-FCC'!B11</f>
        <v>1</v>
      </c>
      <c r="B7" s="14" t="str">
        <f>'VariablesINPUT-FCC'!C11</f>
        <v>Infants</v>
      </c>
      <c r="C7" s="194">
        <f>H7</f>
        <v>18512.889075315001</v>
      </c>
      <c r="D7" s="194">
        <f>C7/12</f>
        <v>1542.7407562762501</v>
      </c>
      <c r="E7" s="215">
        <f>C7*A7</f>
        <v>18512.889075315001</v>
      </c>
      <c r="F7" s="354"/>
      <c r="G7" s="289">
        <f>IF(Infants&gt;0,$D$61/A$11,0)</f>
        <v>17141.563958625</v>
      </c>
      <c r="H7" s="290">
        <f>IF(A7&gt;0,SUM(G7,I10),0)</f>
        <v>18512.889075315001</v>
      </c>
      <c r="I7" s="287"/>
      <c r="J7" s="288"/>
      <c r="K7" s="166"/>
      <c r="L7" s="166"/>
      <c r="M7" s="167"/>
      <c r="N7" s="167"/>
      <c r="O7" s="168"/>
      <c r="P7" s="157"/>
      <c r="Q7" s="157"/>
    </row>
    <row r="8" spans="1:20" ht="14" customHeight="1" x14ac:dyDescent="0.2">
      <c r="A8" s="14">
        <f>'VariablesINPUT-FCC'!B12</f>
        <v>2</v>
      </c>
      <c r="B8" s="14" t="str">
        <f>'VariablesINPUT-FCC'!C12</f>
        <v>Toddlers</v>
      </c>
      <c r="C8" s="194">
        <f>H8</f>
        <v>18512.889075315001</v>
      </c>
      <c r="D8" s="194">
        <f>C8/12</f>
        <v>1542.7407562762501</v>
      </c>
      <c r="E8" s="215">
        <f>C8*A8</f>
        <v>37025.778150630002</v>
      </c>
      <c r="F8" s="354"/>
      <c r="G8" s="289">
        <f>IF(Toddlers&gt;0,$D$61/A$11,0)</f>
        <v>17141.563958625</v>
      </c>
      <c r="H8" s="290">
        <f>IF(A8&gt;0,SUM(G8,I10),0)</f>
        <v>18512.889075315001</v>
      </c>
      <c r="I8" s="287"/>
      <c r="J8" s="291"/>
      <c r="K8" s="166"/>
      <c r="L8" s="166"/>
      <c r="M8" s="167"/>
      <c r="N8" s="167"/>
      <c r="O8" s="168"/>
      <c r="P8" s="157"/>
      <c r="Q8" s="43"/>
    </row>
    <row r="9" spans="1:20" ht="14" customHeight="1" x14ac:dyDescent="0.2">
      <c r="A9" s="14">
        <f>'VariablesINPUT-FCC'!B13</f>
        <v>2</v>
      </c>
      <c r="B9" s="14" t="str">
        <f>'VariablesINPUT-FCC'!C13</f>
        <v>Preschoolers</v>
      </c>
      <c r="C9" s="194">
        <f t="shared" ref="C9" si="0">H9</f>
        <v>18512.889075315001</v>
      </c>
      <c r="D9" s="194">
        <f>C9/12</f>
        <v>1542.7407562762501</v>
      </c>
      <c r="E9" s="215">
        <f t="shared" ref="E9" si="1">C9*A9</f>
        <v>37025.778150630002</v>
      </c>
      <c r="F9" s="354"/>
      <c r="G9" s="289">
        <f>IF(Preschoolers&gt;0,$D$61/A$11,0)</f>
        <v>17141.563958625</v>
      </c>
      <c r="H9" s="290">
        <f>IF(A9&gt;0,SUM(G9,I10),0)</f>
        <v>18512.889075315001</v>
      </c>
      <c r="I9" s="352">
        <f>G10*0.6</f>
        <v>10284.938375174999</v>
      </c>
      <c r="J9" s="353">
        <f>G10*0.4</f>
        <v>6856.6255834500007</v>
      </c>
      <c r="K9" s="166">
        <f>J9/4</f>
        <v>1714.1563958625002</v>
      </c>
      <c r="L9" s="167"/>
      <c r="M9" s="167"/>
      <c r="N9" s="167"/>
      <c r="O9" s="168"/>
      <c r="P9" s="157"/>
      <c r="Q9" s="43"/>
    </row>
    <row r="10" spans="1:20" ht="14" customHeight="1" x14ac:dyDescent="0.15">
      <c r="A10" s="14">
        <f>'VariablesINPUT-FCC'!B14</f>
        <v>1</v>
      </c>
      <c r="B10" s="14" t="str">
        <f>'VariablesINPUT-FCC'!C14</f>
        <v>School age</v>
      </c>
      <c r="C10" s="194">
        <f>H10</f>
        <v>10284.938375174999</v>
      </c>
      <c r="D10" s="194">
        <f>C10/12</f>
        <v>857.07819793124997</v>
      </c>
      <c r="E10" s="215">
        <f>IF(Schoolagers&gt;0,(C10*A10)," ")</f>
        <v>10284.938375174999</v>
      </c>
      <c r="F10" s="354"/>
      <c r="G10" s="292">
        <f>IF(Schoolagers&gt;0,($D$61-D57)/A$11,0)</f>
        <v>17141.563958625</v>
      </c>
      <c r="H10" s="293">
        <f>IF(Schoolagers&gt;0,SUM(G10*60%,D57/Schoolagers),0)</f>
        <v>10284.938375174999</v>
      </c>
      <c r="I10" s="342">
        <f>SUM(I11*Schoolagers)/SUM(A7:A9)</f>
        <v>1371.3251166900002</v>
      </c>
      <c r="J10" s="295">
        <f>SUM(G10-I10)*(SUM(A7:A9))</f>
        <v>78851.194209674999</v>
      </c>
      <c r="K10" s="166"/>
      <c r="L10" s="166"/>
      <c r="M10" s="166"/>
      <c r="N10" s="166"/>
      <c r="O10" s="169"/>
      <c r="P10" s="157"/>
      <c r="Q10" s="43"/>
    </row>
    <row r="11" spans="1:20" ht="14" customHeight="1" x14ac:dyDescent="0.15">
      <c r="A11" s="26">
        <f>SUM(A7:A10)</f>
        <v>6</v>
      </c>
      <c r="B11" s="44"/>
      <c r="C11" s="44"/>
      <c r="D11" s="44"/>
      <c r="E11" s="284">
        <f>SUM(E7:E10)</f>
        <v>102849.38375174999</v>
      </c>
      <c r="I11" s="342">
        <f>G10-C10</f>
        <v>6856.6255834500007</v>
      </c>
      <c r="J11" s="165"/>
      <c r="K11" s="171"/>
      <c r="L11" s="171"/>
      <c r="M11" s="171"/>
      <c r="N11" s="207"/>
      <c r="O11" s="171"/>
      <c r="P11" s="157"/>
      <c r="Q11" s="43"/>
    </row>
    <row r="12" spans="1:20" ht="26" customHeight="1" x14ac:dyDescent="0.15">
      <c r="C12" s="14" t="s">
        <v>117</v>
      </c>
      <c r="D12" s="310">
        <v>0.2</v>
      </c>
      <c r="E12" s="498"/>
      <c r="F12" s="498"/>
      <c r="G12" s="498"/>
      <c r="H12" s="498"/>
      <c r="I12" s="498"/>
      <c r="J12" s="43"/>
      <c r="K12" s="205"/>
      <c r="L12" s="205"/>
      <c r="M12" s="206"/>
      <c r="N12" s="206"/>
      <c r="O12" s="159"/>
      <c r="P12" s="157"/>
      <c r="Q12" s="43"/>
    </row>
    <row r="13" spans="1:20" s="216" customFormat="1" ht="17" x14ac:dyDescent="0.2">
      <c r="B13" s="217" t="s">
        <v>80</v>
      </c>
      <c r="C13" s="218"/>
      <c r="F13" s="219"/>
      <c r="K13" s="220"/>
      <c r="L13" s="220"/>
      <c r="M13" s="220"/>
      <c r="P13" s="221"/>
      <c r="Q13" s="221"/>
      <c r="R13" s="222"/>
      <c r="S13" s="223"/>
      <c r="T13" s="221"/>
    </row>
    <row r="14" spans="1:20" s="216" customFormat="1" ht="18" thickBot="1" x14ac:dyDescent="0.25">
      <c r="B14" s="224" t="s">
        <v>118</v>
      </c>
      <c r="C14" s="225"/>
      <c r="D14" s="226"/>
      <c r="E14" s="226"/>
      <c r="F14" s="226"/>
      <c r="G14" s="225"/>
      <c r="K14" s="220"/>
      <c r="L14" s="220"/>
      <c r="M14" s="220"/>
      <c r="P14" s="221"/>
      <c r="R14" s="222"/>
      <c r="S14" s="223"/>
      <c r="T14" s="221"/>
    </row>
    <row r="15" spans="1:20" s="216" customFormat="1" ht="16" x14ac:dyDescent="0.2">
      <c r="B15" s="227"/>
      <c r="C15" s="216" t="s">
        <v>76</v>
      </c>
      <c r="D15" s="229" t="s">
        <v>119</v>
      </c>
      <c r="K15" s="220"/>
      <c r="L15" s="220"/>
      <c r="M15" s="220"/>
      <c r="P15" s="221"/>
      <c r="R15" s="222"/>
      <c r="S15" s="223"/>
      <c r="T15" s="221"/>
    </row>
    <row r="16" spans="1:20" s="216" customFormat="1" ht="14" x14ac:dyDescent="0.15">
      <c r="A16" s="230">
        <v>1</v>
      </c>
      <c r="B16" s="231" t="s">
        <v>120</v>
      </c>
      <c r="C16" s="232">
        <f>IF('VariablesINPUT-FCC'!C27="Yes",'VariablesINPUT-FCC'!J26,
IF(OR('VariablesINPUT-FCC'!D11="Licensing",'VariablesINPUT-FCC'!D12="Licensing",'VariablesINPUT-FCC'!D13="Licensing",'VariablesINPUT-FCC'!D14="Licensing"),Wages!B10,
IF(OR('VariablesINPUT-FCC'!D11="Point 2",'VariablesINPUT-FCC'!D12="Point 2",'VariablesINPUT-FCC'!D13="Point 2",'VariablesINPUT-FCC'!D14="Point 2"),Wages!B21,
IF(OR('VariablesINPUT-FCC'!D11="Point 3",'VariablesINPUT-FCC'!D12="Point 3",'VariablesINPUT-FCC'!D13="Point 3",'VariablesINPUT-FCC'!D14="Point 3"),Wages!B31,
IF(OR('VariablesINPUT-FCC'!D11="Point 4",'VariablesINPUT-FCC'!D12="Point 4",'VariablesINPUT-FCC'!D13="Point 4",'VariablesINPUT-FCC'!D14="Point 4"),Wages!B41,
IF(OR('VariablesINPUT-FCC'!D11="Aspirational",'VariablesINPUT-FCC'!D12="Aspirational",'VariablesINPUT-FCC'!D13="Aspirational",'VariablesINPUT-FCC'!D14="Aspirational"),Wages!B51,Wages!B10))))))</f>
        <v>53028</v>
      </c>
      <c r="D16" s="348">
        <f>C16*A16</f>
        <v>53028</v>
      </c>
      <c r="E16" s="234"/>
      <c r="F16" s="235"/>
      <c r="K16" s="220"/>
      <c r="L16" s="220"/>
      <c r="M16" s="220"/>
      <c r="R16" s="222"/>
      <c r="S16" s="223"/>
      <c r="T16" s="221"/>
    </row>
    <row r="17" spans="1:20" s="216" customFormat="1" ht="15" x14ac:dyDescent="0.2">
      <c r="A17" s="236">
        <f>IF(A7&gt;2,1,0)</f>
        <v>0</v>
      </c>
      <c r="B17" s="231" t="s">
        <v>121</v>
      </c>
      <c r="C17" s="232">
        <f>IF('VariablesINPUT-FCC'!C27="Yes",'VariablesINPUT-FCC'!J27,
IF(OR('VariablesINPUT-FCC'!D11="Licensing",'VariablesINPUT-FCC'!D12="Licensing",'VariablesINPUT-FCC'!D13="Point 2",'VariablesINPUT-FCC'!D14="Licensing"),Wages!C10,
IF(OR('VariablesINPUT-FCC'!D11="Point 2",'VariablesINPUT-FCC'!D12="Point 2",'VariablesINPUT-FCC'!D13="Point 2",'VariablesINPUT-FCC'!D14="Point 2"),Wages!C21,
IF(OR('VariablesINPUT-FCC'!D11="Point 3",'VariablesINPUT-FCC'!D12="Point 3",'VariablesINPUT-FCC'!D13="Point 3",'VariablesINPUT-FCC'!D14="Point 3"),Wages!C31,
IF(OR('VariablesINPUT-FCC'!D11="Point 4",'VariablesINPUT-FCC'!D12="Point 4",'VariablesINPUT-FCC'!D13="Point 4",'VariablesINPUT-FCC'!D14="Point 4"),Wages!B31,
IF(OR('VariablesINPUT-FCC'!D11="Aspirational",'VariablesINPUT-FCC'!D12="Aspirational",'VariablesINPUT-FCC'!D13="Aspirational",'VariablesINPUT-FCC'!D14="Aspirational"),Wages!C41,Wages!C10))))))</f>
        <v>38664</v>
      </c>
      <c r="D17" s="348">
        <f>C17*A17</f>
        <v>0</v>
      </c>
      <c r="E17" s="234"/>
      <c r="F17" s="235"/>
      <c r="H17" s="237"/>
      <c r="I17" s="238"/>
      <c r="J17" s="237"/>
      <c r="K17" s="237"/>
      <c r="L17" s="237"/>
      <c r="M17" s="237"/>
      <c r="R17" s="222"/>
      <c r="S17" s="223"/>
      <c r="T17" s="221"/>
    </row>
    <row r="18" spans="1:20" s="216" customFormat="1" ht="15" x14ac:dyDescent="0.2">
      <c r="A18" s="236">
        <f>IF(A17=0,IF('VariablesINPUT-FCC'!C7="Large Home",1,0),0)</f>
        <v>0</v>
      </c>
      <c r="B18" s="231" t="s">
        <v>122</v>
      </c>
      <c r="C18" s="232">
        <f>IF('VariablesINPUT-FCC'!C27="Yes",'VariablesINPUT-FCC'!J28,
IF(OR('VariablesINPUT-FCC'!D11="Licensing",'VariablesINPUT-FCC'!D12="Licensing",'VariablesINPUT-FCC'!D13="Point 2",'VariablesINPUT-FCC'!D14="Licensing"),Wages!D10,
IF(OR('VariablesINPUT-FCC'!D11="Point 2",'VariablesINPUT-FCC'!D12="Point 2",'VariablesINPUT-FCC'!D13="Point 2",'VariablesINPUT-FCC'!D14="Point 2"),Wages!D21,
IF(OR('VariablesINPUT-FCC'!D11="Point 3",'VariablesINPUT-FCC'!D12="Point 3",'VariablesINPUT-FCC'!D13="Point 3",'VariablesINPUT-FCC'!D14="Point 3"),Wages!D31,
IF(OR('VariablesINPUT-FCC'!D11="Point 4",'VariablesINPUT-FCC'!D12="Point 4",'VariablesINPUT-FCC'!D13="Point 4",'VariablesINPUT-FCC'!D14="Point 4"),Wages!B31,
IF(OR('VariablesINPUT-FCC'!D11="Aspirational",'VariablesINPUT-FCC'!D12="Aspirational",'VariablesINPUT-FCC'!D13="Aspirational",'VariablesINPUT-FCC'!D14="Aspirational"),Wages!D41,Wages!D10))))))</f>
        <v>38750.400000000001</v>
      </c>
      <c r="D18" s="348">
        <f>C18*A18</f>
        <v>0</v>
      </c>
      <c r="E18" s="234"/>
      <c r="F18" s="235"/>
      <c r="H18" s="237"/>
      <c r="I18" s="238"/>
      <c r="J18" s="237"/>
      <c r="K18" s="237"/>
      <c r="L18" s="237"/>
      <c r="M18" s="237"/>
      <c r="R18" s="222"/>
      <c r="S18" s="223"/>
      <c r="T18" s="221"/>
    </row>
    <row r="19" spans="1:20" s="216" customFormat="1" ht="15" x14ac:dyDescent="0.2">
      <c r="A19" s="239">
        <f>SUM(A16:A18)</f>
        <v>1</v>
      </c>
      <c r="B19" s="347" t="s">
        <v>79</v>
      </c>
      <c r="C19" s="232"/>
      <c r="D19" s="348"/>
      <c r="E19" s="258"/>
      <c r="F19" s="344"/>
      <c r="H19" s="311"/>
      <c r="I19" s="238"/>
      <c r="J19" s="237"/>
      <c r="K19" s="237"/>
      <c r="L19" s="237"/>
      <c r="M19" s="237"/>
    </row>
    <row r="20" spans="1:20" s="216" customFormat="1" ht="15" x14ac:dyDescent="0.2">
      <c r="B20" s="346" t="s">
        <v>123</v>
      </c>
      <c r="C20" s="232"/>
      <c r="D20" s="348"/>
      <c r="E20" s="258"/>
      <c r="F20" s="344"/>
      <c r="H20" s="311"/>
      <c r="I20" s="238"/>
      <c r="J20" s="237"/>
      <c r="K20" s="237"/>
      <c r="L20" s="237"/>
      <c r="M20" s="237"/>
    </row>
    <row r="21" spans="1:20" s="216" customFormat="1" ht="15" x14ac:dyDescent="0.2">
      <c r="A21" s="350">
        <f>SUM(A16:A18)*D12*2080</f>
        <v>416</v>
      </c>
      <c r="B21" s="231" t="s">
        <v>124</v>
      </c>
      <c r="C21" s="232">
        <f>AsstTeacherFCC/2080</f>
        <v>18.63</v>
      </c>
      <c r="D21" s="348">
        <f>(C21*A21)</f>
        <v>7750.08</v>
      </c>
      <c r="E21" s="234"/>
      <c r="F21" s="235"/>
      <c r="H21" s="237"/>
      <c r="I21" s="238"/>
      <c r="J21" s="237"/>
      <c r="K21" s="237"/>
      <c r="L21" s="237"/>
      <c r="M21" s="237"/>
    </row>
    <row r="22" spans="1:20" s="216" customFormat="1" ht="15" x14ac:dyDescent="0.2">
      <c r="A22" s="350">
        <f>'VariablesINPUT-FCC'!D40*52</f>
        <v>0</v>
      </c>
      <c r="B22" s="231" t="s">
        <v>125</v>
      </c>
      <c r="C22" s="232">
        <f>AsstTeacherFCC/2080</f>
        <v>18.63</v>
      </c>
      <c r="D22" s="348">
        <f>(C22*A22)</f>
        <v>0</v>
      </c>
      <c r="E22" s="234"/>
      <c r="F22" s="235"/>
      <c r="H22" s="237"/>
      <c r="I22" s="238"/>
      <c r="J22" s="237"/>
      <c r="K22" s="237"/>
      <c r="L22" s="237"/>
      <c r="M22" s="237"/>
    </row>
    <row r="23" spans="1:20" s="216" customFormat="1" ht="15" x14ac:dyDescent="0.2">
      <c r="A23" s="410">
        <f>'VariablesINPUT-FCC'!D37*520</f>
        <v>0</v>
      </c>
      <c r="B23" s="231" t="s">
        <v>126</v>
      </c>
      <c r="C23" s="232">
        <f>AsstTeacherFCC/2080</f>
        <v>18.63</v>
      </c>
      <c r="D23" s="348">
        <f>(C23*A23)</f>
        <v>0</v>
      </c>
      <c r="E23" s="258"/>
      <c r="F23" s="344"/>
      <c r="H23" s="311"/>
      <c r="I23" s="238"/>
      <c r="J23" s="237"/>
      <c r="K23" s="237"/>
      <c r="L23" s="237"/>
      <c r="M23" s="237"/>
    </row>
    <row r="24" spans="1:20" s="216" customFormat="1" ht="15" x14ac:dyDescent="0.2">
      <c r="A24" s="350">
        <f>(SUM(A16:A18)*12)</f>
        <v>12</v>
      </c>
      <c r="B24" s="231" t="s">
        <v>127</v>
      </c>
      <c r="C24" s="232">
        <f>AsstTeacherFCC/2080</f>
        <v>18.63</v>
      </c>
      <c r="D24" s="348">
        <f>(C24*A24)</f>
        <v>223.56</v>
      </c>
      <c r="E24" s="258"/>
      <c r="F24" s="235"/>
      <c r="H24" s="311"/>
      <c r="I24" s="238"/>
      <c r="J24" s="237"/>
      <c r="K24" s="237"/>
      <c r="L24" s="237"/>
      <c r="M24" s="237"/>
    </row>
    <row r="25" spans="1:20" ht="14" x14ac:dyDescent="0.15">
      <c r="A25" s="351">
        <f>SUM(A21:A24)</f>
        <v>428</v>
      </c>
      <c r="B25" s="347" t="s">
        <v>128</v>
      </c>
    </row>
    <row r="26" spans="1:20" s="216" customFormat="1" ht="15" x14ac:dyDescent="0.2">
      <c r="B26" s="240" t="s">
        <v>129</v>
      </c>
      <c r="C26" s="241"/>
      <c r="D26" s="349">
        <f>SUM(D16:D24)</f>
        <v>61001.64</v>
      </c>
      <c r="I26" s="238"/>
    </row>
    <row r="27" spans="1:20" x14ac:dyDescent="0.15">
      <c r="A27" s="36"/>
      <c r="C27" s="40"/>
      <c r="D27" s="5"/>
      <c r="E27" s="196"/>
      <c r="F27" s="73"/>
      <c r="G27" s="42"/>
    </row>
    <row r="28" spans="1:20" s="216" customFormat="1" ht="15" x14ac:dyDescent="0.2">
      <c r="B28" s="243" t="s">
        <v>130</v>
      </c>
      <c r="C28" s="244"/>
      <c r="E28" s="245"/>
      <c r="H28" s="237"/>
      <c r="I28" s="237"/>
      <c r="J28" s="237"/>
      <c r="K28" s="237"/>
      <c r="L28" s="237"/>
      <c r="M28" s="237"/>
      <c r="N28" s="237"/>
      <c r="O28" s="237"/>
      <c r="P28" s="237"/>
    </row>
    <row r="29" spans="1:20" s="216" customFormat="1" ht="15" x14ac:dyDescent="0.2">
      <c r="B29" s="231" t="s">
        <v>131</v>
      </c>
      <c r="C29" s="246">
        <v>6.2E-2</v>
      </c>
      <c r="D29" s="247">
        <f>SUM(D$26*C29)</f>
        <v>3782.1016799999998</v>
      </c>
      <c r="F29" s="228"/>
      <c r="G29" s="248"/>
      <c r="H29" s="237"/>
      <c r="I29" s="237"/>
      <c r="J29" s="237"/>
      <c r="K29" s="237"/>
      <c r="L29" s="237"/>
      <c r="M29" s="237"/>
      <c r="N29" s="237"/>
      <c r="O29" s="237"/>
      <c r="P29" s="237"/>
    </row>
    <row r="30" spans="1:20" s="216" customFormat="1" ht="15" x14ac:dyDescent="0.2">
      <c r="B30" s="231" t="s">
        <v>132</v>
      </c>
      <c r="C30" s="246">
        <v>1.4500000000000001E-2</v>
      </c>
      <c r="D30" s="247">
        <f>SUM(D$26*C30)</f>
        <v>884.52377999999999</v>
      </c>
      <c r="F30" s="249"/>
      <c r="G30" s="250"/>
      <c r="H30" s="237"/>
      <c r="I30" s="237"/>
      <c r="J30" s="237"/>
      <c r="K30" s="237"/>
      <c r="L30" s="237"/>
      <c r="M30" s="237"/>
      <c r="N30" s="237"/>
      <c r="O30" s="237"/>
      <c r="P30" s="237"/>
    </row>
    <row r="31" spans="1:20" s="216" customFormat="1" ht="15" x14ac:dyDescent="0.2">
      <c r="B31" s="231" t="s">
        <v>133</v>
      </c>
      <c r="C31" s="296">
        <v>5.0000000000000001E-3</v>
      </c>
      <c r="D31" s="247">
        <f>SUM(D$26*C31)</f>
        <v>305.00819999999999</v>
      </c>
      <c r="F31" s="251"/>
      <c r="G31" s="245"/>
      <c r="H31" s="237"/>
      <c r="I31" s="237"/>
      <c r="J31" s="237"/>
      <c r="K31" s="237"/>
      <c r="L31" s="237"/>
      <c r="M31" s="237"/>
      <c r="N31" s="237"/>
      <c r="O31" s="237"/>
      <c r="P31" s="237"/>
    </row>
    <row r="32" spans="1:20" s="216" customFormat="1" ht="15" x14ac:dyDescent="0.2">
      <c r="B32" s="231" t="s">
        <v>134</v>
      </c>
      <c r="C32" s="296">
        <v>0.02</v>
      </c>
      <c r="D32" s="247">
        <f>SUM(D$26*C32)</f>
        <v>1220.0328</v>
      </c>
      <c r="F32" s="249"/>
      <c r="G32" s="245"/>
      <c r="H32" s="237"/>
      <c r="I32" s="237"/>
      <c r="J32" s="237"/>
      <c r="K32" s="237"/>
      <c r="L32" s="237"/>
      <c r="M32" s="237"/>
      <c r="N32" s="237"/>
      <c r="O32" s="237"/>
      <c r="P32" s="237"/>
    </row>
    <row r="33" spans="2:9" s="216" customFormat="1" ht="14" x14ac:dyDescent="0.15">
      <c r="B33" s="252" t="s">
        <v>135</v>
      </c>
      <c r="C33" s="253">
        <f>SUM(C29:C32)</f>
        <v>0.10150000000000001</v>
      </c>
      <c r="D33" s="254">
        <f>SUM(D29:D32)</f>
        <v>6191.6664599999995</v>
      </c>
      <c r="G33" s="245"/>
    </row>
    <row r="34" spans="2:9" ht="17" customHeight="1" x14ac:dyDescent="0.15">
      <c r="B34" s="17"/>
    </row>
    <row r="35" spans="2:9" s="216" customFormat="1" ht="14" x14ac:dyDescent="0.15">
      <c r="B35" s="243" t="s">
        <v>136</v>
      </c>
      <c r="C35" s="255" t="s">
        <v>137</v>
      </c>
      <c r="F35" s="249"/>
      <c r="G35" s="245"/>
    </row>
    <row r="36" spans="2:9" s="216" customFormat="1" ht="14" x14ac:dyDescent="0.15">
      <c r="B36" s="231" t="s">
        <v>138</v>
      </c>
      <c r="C36" s="255">
        <f>IF(Sick_Days&gt;0,(Sick_Days*(C18/2080)*10),0)</f>
        <v>1862.9999999999998</v>
      </c>
      <c r="D36" s="274">
        <f>A19*C36</f>
        <v>1862.9999999999998</v>
      </c>
      <c r="F36" s="249"/>
      <c r="G36" s="245"/>
    </row>
    <row r="37" spans="2:9" s="216" customFormat="1" ht="14" x14ac:dyDescent="0.15">
      <c r="B37" s="231" t="s">
        <v>139</v>
      </c>
      <c r="C37" s="255">
        <f>IF(Paid_Leave&gt;0,(Paid_Leave*(C18/2080)*10),0)</f>
        <v>1862.9999999999998</v>
      </c>
      <c r="D37" s="274">
        <f>A19*C37</f>
        <v>1862.9999999999998</v>
      </c>
      <c r="F37" s="249"/>
      <c r="G37" s="245"/>
    </row>
    <row r="38" spans="2:9" s="216" customFormat="1" ht="14" x14ac:dyDescent="0.15">
      <c r="B38" s="256" t="s">
        <v>53</v>
      </c>
      <c r="C38" s="245">
        <f>IF(HealthIns="Yes",E38, "0")</f>
        <v>5911</v>
      </c>
      <c r="D38" s="245">
        <f>SUM(A19*C38)</f>
        <v>5911</v>
      </c>
      <c r="E38" s="257">
        <v>5911</v>
      </c>
      <c r="F38" s="2" t="s">
        <v>140</v>
      </c>
      <c r="G38" s="245"/>
    </row>
    <row r="39" spans="2:9" s="216" customFormat="1" x14ac:dyDescent="0.15">
      <c r="B39" s="240" t="s">
        <v>141</v>
      </c>
      <c r="D39" s="259">
        <f>SUM(D36:D38)</f>
        <v>9637</v>
      </c>
      <c r="F39" s="249"/>
      <c r="G39" s="260"/>
    </row>
    <row r="40" spans="2:9" s="216" customFormat="1" x14ac:dyDescent="0.15">
      <c r="B40" s="256"/>
      <c r="C40" s="258"/>
      <c r="D40" s="245"/>
      <c r="F40" s="249"/>
      <c r="G40" s="260"/>
    </row>
    <row r="41" spans="2:9" s="216" customFormat="1" x14ac:dyDescent="0.15">
      <c r="B41" s="240" t="s">
        <v>142</v>
      </c>
      <c r="C41" s="228"/>
      <c r="D41" s="254">
        <f>D26+D33+D39</f>
        <v>76830.306459999993</v>
      </c>
    </row>
    <row r="42" spans="2:9" ht="12.5" customHeight="1" x14ac:dyDescent="0.15">
      <c r="C42" s="38"/>
      <c r="D42" s="5"/>
      <c r="G42" s="10"/>
    </row>
    <row r="43" spans="2:9" x14ac:dyDescent="0.15">
      <c r="B43" s="61" t="s">
        <v>143</v>
      </c>
      <c r="C43" s="7"/>
      <c r="D43" s="6"/>
      <c r="E43" s="40"/>
      <c r="H43" s="60"/>
      <c r="I43" s="60"/>
    </row>
    <row r="44" spans="2:9" x14ac:dyDescent="0.15">
      <c r="B44" s="20" t="str">
        <f>QualVar!A7</f>
        <v>Family Engagement</v>
      </c>
      <c r="C44" s="7"/>
      <c r="D44" s="5">
        <f>IF('VariablesINPUT-FCC'!D31='VariablesINPUT-FCC'!L31,QualVar!B10,
IF('VariablesINPUT-FCC'!D31='VariablesINPUT-FCC'!M31,QualVar!C10,
IF('VariablesINPUT-FCC'!D31='VariablesINPUT-FCC'!N31,QualVar!D10,
IF('VariablesINPUT-FCC'!D31='VariablesINPUT-FCC'!O31,QualVar!E10,0))))</f>
        <v>0</v>
      </c>
      <c r="E44" s="40"/>
    </row>
    <row r="45" spans="2:9" x14ac:dyDescent="0.15">
      <c r="B45" s="20" t="str">
        <f>QualVar!A12</f>
        <v>Professional Development Supports</v>
      </c>
      <c r="C45" s="7"/>
      <c r="D45" s="5">
        <f>IF('VariablesINPUT-FCC'!D32='VariablesINPUT-FCC'!L32,QualVar!B17,
IF('VariablesINPUT-FCC'!D32='VariablesINPUT-FCC'!M32,QualVar!C17,
IF('VariablesINPUT-FCC'!D32='VariablesINPUT-FCC'!N32,QualVar!D17,
IF('VariablesINPUT-FCC'!D32='VariablesINPUT-FCC'!O32,QualVar!E17,0))))</f>
        <v>0</v>
      </c>
      <c r="E45" s="40"/>
    </row>
    <row r="46" spans="2:9" x14ac:dyDescent="0.15">
      <c r="B46" s="20" t="str">
        <f>QualVar!A19</f>
        <v>Curriculum Implementation Supports</v>
      </c>
      <c r="C46" s="7"/>
      <c r="D46" s="5">
        <f>IF('VariablesINPUT-FCC'!D33='VariablesINPUT-FCC'!L33,QualVar!B21,
IF('VariablesINPUT-FCC'!D33='VariablesINPUT-FCC'!M33,QualVar!D21,
IF('VariablesINPUT-FCC'!D33='VariablesINPUT-FCC'!N33,QualVar!E21,0)))</f>
        <v>0</v>
      </c>
      <c r="E46" s="40"/>
    </row>
    <row r="47" spans="2:9" x14ac:dyDescent="0.15">
      <c r="B47" s="20" t="str">
        <f>QualVar!A23</f>
        <v>Educational Materials</v>
      </c>
      <c r="C47" s="7"/>
      <c r="D47" s="5">
        <f>IF('VariablesINPUT-FCC'!D34='VariablesINPUT-FCC'!L34,QualVar!B25,
IF('VariablesINPUT-FCC'!D34='VariablesINPUT-FCC'!M34,QualVar!C25,
IF('VariablesINPUT-FCC'!D34='VariablesINPUT-FCC'!N34,QualVar!D25,
IF('VariablesINPUT-FCC'!D34='VariablesINPUT-FCC'!O34,QualVar!E25,0))))</f>
        <v>0</v>
      </c>
      <c r="E47" s="40"/>
    </row>
    <row r="48" spans="2:9" x14ac:dyDescent="0.15">
      <c r="B48" s="20" t="str">
        <f>QualVar!A27</f>
        <v>Comprehensive Health and Development</v>
      </c>
      <c r="C48" s="7"/>
      <c r="D48" s="5">
        <f>IF('VariablesINPUT-FCC'!D35='VariablesINPUT-FCC'!L35,QualVar!B29,
IF('VariablesINPUT-FCC'!D35='VariablesINPUT-FCC'!M35,QualVar!E29,0))</f>
        <v>0</v>
      </c>
      <c r="E48" s="40"/>
    </row>
    <row r="49" spans="1:13" x14ac:dyDescent="0.15">
      <c r="B49" s="20" t="str">
        <f>QualVar!A31</f>
        <v>Inclusion Materials</v>
      </c>
      <c r="C49" s="7"/>
      <c r="D49" s="5">
        <f>IF('VariablesINPUT-FCC'!D36='VariablesINPUT-FCC'!L36,QualVar!B33,
IF('VariablesINPUT-FCC'!D36='VariablesINPUT-FCC'!M36,QualVar!E33,0))</f>
        <v>0</v>
      </c>
      <c r="E49" s="40"/>
    </row>
    <row r="50" spans="1:13" x14ac:dyDescent="0.15">
      <c r="B50" s="9" t="s">
        <v>144</v>
      </c>
      <c r="C50" s="7"/>
      <c r="D50" s="315">
        <f>SUM(D44:D49)</f>
        <v>0</v>
      </c>
      <c r="H50" s="17"/>
    </row>
    <row r="51" spans="1:13" x14ac:dyDescent="0.15">
      <c r="B51" s="9"/>
      <c r="C51" s="7"/>
      <c r="D51" s="6"/>
      <c r="E51" s="40"/>
      <c r="H51" s="17"/>
    </row>
    <row r="52" spans="1:13" s="216" customFormat="1" ht="35" thickBot="1" x14ac:dyDescent="0.25">
      <c r="B52" s="261" t="s">
        <v>145</v>
      </c>
      <c r="C52" s="262"/>
      <c r="D52" s="226"/>
      <c r="E52" s="263"/>
      <c r="F52" s="226"/>
      <c r="G52" s="226"/>
    </row>
    <row r="53" spans="1:13" s="216" customFormat="1" ht="14" x14ac:dyDescent="0.15">
      <c r="B53" s="231" t="s">
        <v>146</v>
      </c>
      <c r="E53" s="245"/>
    </row>
    <row r="54" spans="1:13" s="216" customFormat="1" ht="14" x14ac:dyDescent="0.15">
      <c r="B54" s="231" t="s">
        <v>147</v>
      </c>
      <c r="D54" s="245">
        <f>'Nonpersonnel PCQC'!B38</f>
        <v>4839.0200000000004</v>
      </c>
      <c r="I54" s="14"/>
      <c r="J54" s="14"/>
    </row>
    <row r="55" spans="1:13" s="216" customFormat="1" ht="14" x14ac:dyDescent="0.15">
      <c r="B55" s="231" t="s">
        <v>148</v>
      </c>
      <c r="D55" s="245">
        <f>'Nonpersonnel PCQC'!C40*TotalChildren</f>
        <v>10695.509999999998</v>
      </c>
    </row>
    <row r="56" spans="1:13" s="216" customFormat="1" ht="14" x14ac:dyDescent="0.15">
      <c r="B56" s="264" t="s">
        <v>92</v>
      </c>
      <c r="D56" s="245">
        <f>'Nonpersonnel PCQC'!B39</f>
        <v>5586.9575892857147</v>
      </c>
    </row>
    <row r="57" spans="1:13" s="216" customFormat="1" ht="14" x14ac:dyDescent="0.15">
      <c r="B57" s="264" t="s">
        <v>149</v>
      </c>
      <c r="D57" s="245">
        <v>0</v>
      </c>
    </row>
    <row r="58" spans="1:13" s="216" customFormat="1" x14ac:dyDescent="0.15">
      <c r="B58" s="240" t="s">
        <v>150</v>
      </c>
      <c r="D58" s="316">
        <f>SUM(D54:D56)</f>
        <v>21121.487589285713</v>
      </c>
    </row>
    <row r="59" spans="1:13" ht="13" customHeight="1" x14ac:dyDescent="0.15">
      <c r="A59" s="37"/>
      <c r="B59" s="20" t="s">
        <v>151</v>
      </c>
      <c r="D59" s="16">
        <f>E59*(D41+QualityVarCost+D58)</f>
        <v>4897.5897024642854</v>
      </c>
      <c r="E59" s="195">
        <v>0.05</v>
      </c>
      <c r="F59" s="2" t="s">
        <v>152</v>
      </c>
      <c r="K59" s="17"/>
      <c r="L59" s="17"/>
      <c r="M59" s="5"/>
    </row>
    <row r="60" spans="1:13" ht="13" customHeight="1" x14ac:dyDescent="0.15">
      <c r="A60" s="37"/>
      <c r="B60" s="20"/>
      <c r="D60" s="16"/>
      <c r="E60" s="40"/>
      <c r="K60" s="17"/>
      <c r="L60" s="17"/>
      <c r="M60" s="5"/>
    </row>
    <row r="61" spans="1:13" x14ac:dyDescent="0.15">
      <c r="A61" s="43"/>
      <c r="C61" s="9" t="s">
        <v>153</v>
      </c>
      <c r="D61" s="27">
        <f>SUM(D41,QualityVarCost,D58,Reserve_Fund)</f>
        <v>102849.38375174999</v>
      </c>
      <c r="G61" s="43"/>
    </row>
    <row r="62" spans="1:13" x14ac:dyDescent="0.15">
      <c r="D62" s="16"/>
      <c r="G62" s="60"/>
      <c r="K62" s="60"/>
      <c r="L62" s="60"/>
    </row>
    <row r="63" spans="1:13" ht="14" x14ac:dyDescent="0.15">
      <c r="B63" s="144" t="s">
        <v>154</v>
      </c>
      <c r="C63" s="321">
        <f>'VariablesINPUT-FCC'!E74</f>
        <v>0</v>
      </c>
      <c r="D63" s="320" t="s">
        <v>155</v>
      </c>
      <c r="E63" s="211"/>
      <c r="H63" s="211" t="s">
        <v>156</v>
      </c>
      <c r="I63" s="211" t="s">
        <v>157</v>
      </c>
      <c r="J63" s="211" t="s">
        <v>158</v>
      </c>
    </row>
    <row r="64" spans="1:13" ht="14" x14ac:dyDescent="0.15">
      <c r="B64" s="144" t="s">
        <v>159</v>
      </c>
      <c r="C64" s="321" t="str">
        <f>'VariablesINPUT-FCC'!E80</f>
        <v>New Castle</v>
      </c>
      <c r="D64" s="320" t="s">
        <v>155</v>
      </c>
      <c r="I64" s="211" t="s">
        <v>160</v>
      </c>
      <c r="J64" s="211" t="s">
        <v>161</v>
      </c>
      <c r="K64" s="211" t="s">
        <v>162</v>
      </c>
      <c r="L64" s="211" t="s">
        <v>163</v>
      </c>
      <c r="M64" s="211" t="s">
        <v>164</v>
      </c>
    </row>
    <row r="65" spans="1:9" x14ac:dyDescent="0.15">
      <c r="A65" s="14" t="s">
        <v>165</v>
      </c>
      <c r="C65" s="17"/>
      <c r="D65" s="159"/>
      <c r="E65" s="160"/>
      <c r="F65" s="43"/>
      <c r="G65" s="43"/>
      <c r="H65" s="43"/>
      <c r="I65" s="157"/>
    </row>
    <row r="66" spans="1:9" x14ac:dyDescent="0.15">
      <c r="A66" s="208">
        <f>SUM(A68:A75)</f>
        <v>6</v>
      </c>
      <c r="B66" s="1" t="s">
        <v>64</v>
      </c>
      <c r="C66" s="1" t="s">
        <v>166</v>
      </c>
      <c r="D66" s="314" t="s">
        <v>69</v>
      </c>
      <c r="E66" s="43"/>
      <c r="H66" s="43"/>
      <c r="I66" s="157"/>
    </row>
    <row r="67" spans="1:9" x14ac:dyDescent="0.15">
      <c r="A67" s="42">
        <f>'VariablesINPUT-FCC'!D59</f>
        <v>3</v>
      </c>
      <c r="B67" s="14" t="s">
        <v>167</v>
      </c>
      <c r="C67" s="18">
        <f>'VariablesINPUT-FCC'!B15*AVERAGE('Fed CACFP'!J8:J9)*52</f>
        <v>7558.2000000000007</v>
      </c>
      <c r="D67" s="210">
        <f>C67</f>
        <v>7558.2000000000007</v>
      </c>
      <c r="E67" s="158"/>
      <c r="F67" s="43"/>
      <c r="G67" s="43"/>
      <c r="H67" s="43"/>
      <c r="I67" s="157"/>
    </row>
    <row r="68" spans="1:9" x14ac:dyDescent="0.15">
      <c r="A68" s="42">
        <f>'VariablesINPUT-FCC'!E54</f>
        <v>1</v>
      </c>
      <c r="B68" s="14" t="s">
        <v>168</v>
      </c>
      <c r="C68" s="14">
        <f t="shared" ref="C68:C69" si="2">SUM(F68*12)</f>
        <v>13000</v>
      </c>
      <c r="D68" s="202">
        <f>A68*C68</f>
        <v>13000</v>
      </c>
      <c r="E68" s="16"/>
      <c r="F68" s="23">
        <f>IF(C$64="New Castle",'Tuition Rates'!D3,IF(C$64="Kent",'Tuition Rates'!D11,IF(C$64="Sussex",'Tuition Rates'!D19,)))</f>
        <v>1083.3333333333333</v>
      </c>
      <c r="G68" s="281"/>
    </row>
    <row r="69" spans="1:9" x14ac:dyDescent="0.15">
      <c r="A69" s="42">
        <f>'VariablesINPUT-FCC'!E55</f>
        <v>1</v>
      </c>
      <c r="B69" s="14" t="s">
        <v>169</v>
      </c>
      <c r="C69" s="14">
        <f t="shared" si="2"/>
        <v>13000</v>
      </c>
      <c r="D69" s="202">
        <f t="shared" ref="D69:D71" si="3">A69*C69</f>
        <v>13000</v>
      </c>
      <c r="E69" s="16"/>
      <c r="F69" s="340">
        <f>IF(C$64="New Castle",'Tuition Rates'!D4,IF(C$64="Kent",'Tuition Rates'!D12,IF(C$64="Sussex",'Tuition Rates'!D20,)))</f>
        <v>1083.3333333333333</v>
      </c>
      <c r="G69" s="281"/>
    </row>
    <row r="70" spans="1:9" x14ac:dyDescent="0.15">
      <c r="A70" s="42">
        <f>'VariablesINPUT-FCC'!E56</f>
        <v>1</v>
      </c>
      <c r="B70" s="14" t="s">
        <v>170</v>
      </c>
      <c r="C70" s="14">
        <f>SUM(F70*12)</f>
        <v>12220</v>
      </c>
      <c r="D70" s="202">
        <f t="shared" si="3"/>
        <v>12220</v>
      </c>
      <c r="E70" s="16"/>
      <c r="F70" s="23">
        <f>IF(C$64="New Castle",'Tuition Rates'!D5,IF(C$64="Kent",'Tuition Rates'!D13,IF(C$64="Sussex",'Tuition Rates'!D21,)))</f>
        <v>1018.3333333333334</v>
      </c>
      <c r="G70" s="281"/>
    </row>
    <row r="71" spans="1:9" x14ac:dyDescent="0.15">
      <c r="A71" s="42">
        <f>'VariablesINPUT-FCC'!E57</f>
        <v>0</v>
      </c>
      <c r="B71" s="14" t="s">
        <v>171</v>
      </c>
      <c r="C71" s="14">
        <f>SUM(F71*12)</f>
        <v>6240</v>
      </c>
      <c r="D71" s="202">
        <f t="shared" si="3"/>
        <v>0</v>
      </c>
      <c r="E71" s="16"/>
      <c r="F71" s="341">
        <f>IF(C$64="New Castle",'Tuition Rates'!D6,IF(C$64="Kent",'Tuition Rates'!D14,IF(C$64="Sussex",'Tuition Rates'!D22,)))</f>
        <v>520</v>
      </c>
      <c r="G71" s="281"/>
    </row>
    <row r="72" spans="1:9" x14ac:dyDescent="0.15">
      <c r="A72" s="42">
        <f>'VariablesINPUT-FCC'!C54</f>
        <v>0</v>
      </c>
      <c r="B72" s="14" t="s">
        <v>172</v>
      </c>
      <c r="C72" s="14">
        <f t="shared" ref="C72:C79" si="4">SUM(F72*12)</f>
        <v>11570</v>
      </c>
      <c r="D72" s="202">
        <f>A72*C72</f>
        <v>0</v>
      </c>
      <c r="E72" s="16"/>
      <c r="F72" s="340">
        <f>'Subsidy Rates'!D3</f>
        <v>964.16666666666663</v>
      </c>
      <c r="G72" s="281"/>
    </row>
    <row r="73" spans="1:9" x14ac:dyDescent="0.15">
      <c r="A73" s="42">
        <f>'VariablesINPUT-FCC'!C55</f>
        <v>1</v>
      </c>
      <c r="B73" s="14" t="s">
        <v>173</v>
      </c>
      <c r="C73" s="14">
        <f t="shared" si="4"/>
        <v>10400</v>
      </c>
      <c r="D73" s="202">
        <f>A73*C73</f>
        <v>10400</v>
      </c>
      <c r="E73" s="16"/>
      <c r="F73" s="340">
        <f>'Subsidy Rates'!D4</f>
        <v>866.66666666666663</v>
      </c>
      <c r="G73" s="281"/>
    </row>
    <row r="74" spans="1:9" x14ac:dyDescent="0.15">
      <c r="A74" s="42">
        <f>'VariablesINPUT-FCC'!C56</f>
        <v>1</v>
      </c>
      <c r="B74" s="14" t="s">
        <v>174</v>
      </c>
      <c r="C74" s="14">
        <f t="shared" si="4"/>
        <v>10400</v>
      </c>
      <c r="D74" s="202">
        <f t="shared" ref="D74:D75" si="5">A74*C74</f>
        <v>10400</v>
      </c>
      <c r="E74" s="16"/>
      <c r="F74" s="340">
        <f>'Subsidy Rates'!D5</f>
        <v>866.66666666666663</v>
      </c>
      <c r="G74" s="281"/>
    </row>
    <row r="75" spans="1:9" x14ac:dyDescent="0.15">
      <c r="A75" s="42">
        <f>'VariablesINPUT-FCC'!C57</f>
        <v>1</v>
      </c>
      <c r="B75" s="14" t="s">
        <v>175</v>
      </c>
      <c r="C75" s="14">
        <f t="shared" si="4"/>
        <v>8320</v>
      </c>
      <c r="D75" s="202">
        <f t="shared" si="5"/>
        <v>8320</v>
      </c>
      <c r="E75" s="16"/>
      <c r="F75" s="340">
        <f>'Subsidy Rates'!D6</f>
        <v>693.33333333333337</v>
      </c>
      <c r="G75" s="281"/>
      <c r="H75" s="14" t="s">
        <v>176</v>
      </c>
    </row>
    <row r="76" spans="1:9" x14ac:dyDescent="0.15">
      <c r="A76" s="42">
        <f>'VariablesINPUT-FCC'!D54</f>
        <v>0</v>
      </c>
      <c r="B76" s="14" t="s">
        <v>177</v>
      </c>
      <c r="C76" s="14">
        <f t="shared" si="4"/>
        <v>12149.8</v>
      </c>
      <c r="D76" s="202">
        <f>A76*C76</f>
        <v>0</v>
      </c>
      <c r="E76" s="16"/>
      <c r="F76" s="340">
        <f>'Subsidy Rates'!E3</f>
        <v>1012.4833333333332</v>
      </c>
      <c r="G76" s="281"/>
    </row>
    <row r="77" spans="1:9" x14ac:dyDescent="0.15">
      <c r="A77" s="42">
        <f>'VariablesINPUT-FCC'!D55</f>
        <v>0</v>
      </c>
      <c r="B77" s="14" t="s">
        <v>178</v>
      </c>
      <c r="C77" s="14">
        <f t="shared" si="4"/>
        <v>11245</v>
      </c>
      <c r="D77" s="202">
        <f>A77*C77</f>
        <v>0</v>
      </c>
      <c r="E77" s="16"/>
      <c r="F77" s="340">
        <f>'Subsidy Rates'!E4</f>
        <v>937.08333333333337</v>
      </c>
      <c r="G77" s="281"/>
    </row>
    <row r="78" spans="1:9" x14ac:dyDescent="0.15">
      <c r="A78" s="42">
        <f>'VariablesINPUT-FCC'!D56</f>
        <v>0</v>
      </c>
      <c r="B78" s="14" t="s">
        <v>179</v>
      </c>
      <c r="C78" s="14">
        <f t="shared" si="4"/>
        <v>11245</v>
      </c>
      <c r="D78" s="202">
        <f t="shared" ref="D78:D79" si="6">A78*C78</f>
        <v>0</v>
      </c>
      <c r="E78" s="16"/>
      <c r="F78" s="340">
        <f>'Subsidy Rates'!E5</f>
        <v>937.08333333333337</v>
      </c>
      <c r="G78" s="281"/>
    </row>
    <row r="79" spans="1:9" x14ac:dyDescent="0.15">
      <c r="A79" s="42">
        <f>'VariablesINPUT-FCC'!D57</f>
        <v>0</v>
      </c>
      <c r="B79" s="14" t="s">
        <v>180</v>
      </c>
      <c r="C79" s="14">
        <f t="shared" si="4"/>
        <v>8736</v>
      </c>
      <c r="D79" s="202">
        <f t="shared" si="6"/>
        <v>0</v>
      </c>
      <c r="E79" s="16"/>
      <c r="F79" s="340">
        <f>'Subsidy Rates'!E6</f>
        <v>728</v>
      </c>
      <c r="G79" s="281"/>
      <c r="H79" s="14" t="s">
        <v>176</v>
      </c>
    </row>
    <row r="80" spans="1:9" ht="14" thickBot="1" x14ac:dyDescent="0.2">
      <c r="B80" s="14" t="s">
        <v>181</v>
      </c>
      <c r="D80" s="203">
        <f>'VariablesINPUT-FCC'!D62</f>
        <v>0</v>
      </c>
      <c r="E80" s="16"/>
    </row>
    <row r="81" spans="2:9" x14ac:dyDescent="0.15">
      <c r="B81" s="13"/>
      <c r="D81" s="209">
        <f>SUM(D67:D80)</f>
        <v>74898.2</v>
      </c>
      <c r="E81" s="15" t="s">
        <v>182</v>
      </c>
      <c r="H81" s="49" t="s">
        <v>183</v>
      </c>
      <c r="I81" s="197"/>
    </row>
    <row r="82" spans="2:9" x14ac:dyDescent="0.15">
      <c r="H82" s="50" t="s">
        <v>184</v>
      </c>
      <c r="I82" s="198">
        <f>C7*Infants</f>
        <v>18512.889075315001</v>
      </c>
    </row>
    <row r="83" spans="2:9" x14ac:dyDescent="0.15">
      <c r="B83" s="155" t="s">
        <v>185</v>
      </c>
      <c r="C83" s="43"/>
      <c r="D83" s="43"/>
      <c r="E83" s="43"/>
      <c r="F83" s="43"/>
      <c r="H83" s="50" t="s">
        <v>186</v>
      </c>
      <c r="I83" s="198">
        <f>C8*Toddlers</f>
        <v>37025.778150630002</v>
      </c>
    </row>
    <row r="84" spans="2:9" x14ac:dyDescent="0.15">
      <c r="B84" s="43" t="s">
        <v>187</v>
      </c>
      <c r="C84" s="156">
        <f>BadDebt</f>
        <v>0.03</v>
      </c>
      <c r="D84" s="157">
        <f>C84*(D81-D80)</f>
        <v>2246.9459999999999</v>
      </c>
      <c r="E84" s="43"/>
      <c r="F84" s="43"/>
      <c r="H84" s="50" t="s">
        <v>188</v>
      </c>
      <c r="I84" s="198">
        <f>C9*Preschoolers</f>
        <v>37025.778150630002</v>
      </c>
    </row>
    <row r="85" spans="2:9" x14ac:dyDescent="0.15">
      <c r="B85" s="43" t="s">
        <v>189</v>
      </c>
      <c r="C85" s="156">
        <f>EnrollEffic</f>
        <v>0.85</v>
      </c>
      <c r="D85" s="158">
        <f>(1-C85)*(D81-D84-D80)</f>
        <v>10897.688100000001</v>
      </c>
      <c r="E85" s="43"/>
      <c r="F85" s="43"/>
      <c r="H85" s="50" t="s">
        <v>3</v>
      </c>
      <c r="I85" s="204">
        <f>C10*Schoolagers</f>
        <v>10284.938375174999</v>
      </c>
    </row>
    <row r="86" spans="2:9" x14ac:dyDescent="0.15">
      <c r="B86" s="43"/>
      <c r="C86" s="159"/>
      <c r="D86" s="160">
        <f>D81-D84-D85</f>
        <v>61753.565900000001</v>
      </c>
      <c r="E86" s="161" t="s">
        <v>190</v>
      </c>
      <c r="F86" s="43"/>
      <c r="H86" s="51" t="s">
        <v>69</v>
      </c>
      <c r="I86" s="199">
        <f>SUM(I82:I85)</f>
        <v>102849.38375174999</v>
      </c>
    </row>
    <row r="87" spans="2:9" ht="14" thickBot="1" x14ac:dyDescent="0.2">
      <c r="B87" s="162" t="s">
        <v>191</v>
      </c>
      <c r="C87" s="162"/>
      <c r="D87" s="163">
        <f>D86-D61</f>
        <v>-41095.817851749991</v>
      </c>
      <c r="E87" s="164">
        <f>D87/D61</f>
        <v>-0.39957281563245867</v>
      </c>
      <c r="F87" s="162" t="s">
        <v>152</v>
      </c>
      <c r="H87" s="200"/>
      <c r="I87" s="201">
        <f>I86-D61</f>
        <v>0</v>
      </c>
    </row>
  </sheetData>
  <mergeCells count="1">
    <mergeCell ref="E12:I12"/>
  </mergeCells>
  <phoneticPr fontId="8" type="noConversion"/>
  <conditionalFormatting sqref="I87">
    <cfRule type="cellIs" dxfId="1" priority="1" operator="lessThan">
      <formula>0</formula>
    </cfRule>
  </conditionalFormatting>
  <pageMargins left="0.25" right="0.25" top="0.25" bottom="0.25" header="0" footer="0"/>
  <pageSetup paperSize="5" scale="92" orientation="landscape" horizontalDpi="4294967293" verticalDpi="0" r:id="rId1"/>
  <headerFooter alignWithMargins="0"/>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251E-1BF8-4B44-BD6C-784F548B1194}">
  <sheetPr codeName="Sheet3">
    <tabColor theme="6" tint="0.59999389629810485"/>
  </sheetPr>
  <dimension ref="A1:T67"/>
  <sheetViews>
    <sheetView workbookViewId="0"/>
  </sheetViews>
  <sheetFormatPr baseColWidth="10" defaultColWidth="8.83203125" defaultRowHeight="13" x14ac:dyDescent="0.15"/>
  <cols>
    <col min="1" max="1" width="7.5" style="14" customWidth="1"/>
    <col min="2" max="2" width="44.5" style="14" customWidth="1"/>
    <col min="3" max="3" width="12.33203125" style="14" customWidth="1"/>
    <col min="4" max="4" width="12.6640625" style="14" customWidth="1"/>
    <col min="5" max="5" width="11.1640625" style="14" customWidth="1"/>
    <col min="6" max="6" width="12" style="14" customWidth="1"/>
    <col min="7" max="7" width="11.83203125" style="14" customWidth="1"/>
    <col min="8" max="8" width="13.1640625" style="14" customWidth="1"/>
    <col min="9" max="9" width="14.83203125" style="14" customWidth="1"/>
    <col min="10" max="10" width="14.1640625" style="14" customWidth="1"/>
    <col min="11" max="12" width="10.5" style="14" customWidth="1"/>
    <col min="13" max="13" width="10" style="14" customWidth="1"/>
    <col min="14" max="14" width="9.5" style="14" customWidth="1"/>
    <col min="15" max="15" width="12.83203125" style="14" customWidth="1"/>
    <col min="16" max="16" width="13.1640625" style="14" customWidth="1"/>
    <col min="17" max="17" width="8.1640625" style="14" customWidth="1"/>
    <col min="18" max="18" width="5.5" style="14" customWidth="1"/>
    <col min="19" max="19" width="11.5" style="14" customWidth="1"/>
    <col min="20" max="16384" width="8.83203125" style="14"/>
  </cols>
  <sheetData>
    <row r="1" spans="1:20" ht="16.5" customHeight="1" x14ac:dyDescent="0.15">
      <c r="A1" s="1" t="s">
        <v>192</v>
      </c>
      <c r="B1" s="189"/>
      <c r="C1" s="1"/>
      <c r="D1" s="1"/>
      <c r="E1" s="1"/>
      <c r="F1" s="1"/>
      <c r="G1" s="1"/>
    </row>
    <row r="2" spans="1:20" x14ac:dyDescent="0.15">
      <c r="A2" s="2"/>
      <c r="B2" s="2" t="s">
        <v>107</v>
      </c>
      <c r="E2" s="190"/>
      <c r="F2" s="14" t="s">
        <v>108</v>
      </c>
    </row>
    <row r="3" spans="1:20" x14ac:dyDescent="0.15">
      <c r="A3" s="2"/>
      <c r="B3" s="2" t="s">
        <v>109</v>
      </c>
      <c r="E3" s="191"/>
      <c r="F3" s="14" t="s">
        <v>110</v>
      </c>
    </row>
    <row r="4" spans="1:20" x14ac:dyDescent="0.15">
      <c r="A4" s="11" t="s">
        <v>111</v>
      </c>
      <c r="B4" s="192"/>
      <c r="C4" s="192"/>
      <c r="D4" s="192"/>
      <c r="E4" s="192"/>
      <c r="F4" s="192"/>
      <c r="G4" s="192"/>
      <c r="H4" s="193"/>
      <c r="I4" s="193"/>
    </row>
    <row r="5" spans="1:20" x14ac:dyDescent="0.15">
      <c r="K5" s="84"/>
      <c r="L5" s="84"/>
      <c r="M5" s="84"/>
      <c r="N5" s="84"/>
      <c r="O5" s="84"/>
      <c r="P5" s="2"/>
    </row>
    <row r="6" spans="1:20" ht="25.5" customHeight="1" x14ac:dyDescent="0.15">
      <c r="B6" s="1" t="s">
        <v>112</v>
      </c>
      <c r="C6" s="47" t="s">
        <v>113</v>
      </c>
      <c r="D6" s="1" t="s">
        <v>77</v>
      </c>
      <c r="E6" s="1" t="s">
        <v>114</v>
      </c>
      <c r="G6" s="285" t="s">
        <v>115</v>
      </c>
      <c r="H6" s="286" t="s">
        <v>116</v>
      </c>
      <c r="I6" s="287"/>
      <c r="J6" s="288"/>
      <c r="K6" s="170"/>
      <c r="L6" s="170"/>
      <c r="M6" s="170"/>
      <c r="N6" s="170"/>
      <c r="O6" s="170"/>
      <c r="P6" s="170"/>
    </row>
    <row r="7" spans="1:20" ht="14" customHeight="1" x14ac:dyDescent="0.15">
      <c r="A7" s="14">
        <f>'VariablesINPUT-FCC'!B11</f>
        <v>1</v>
      </c>
      <c r="B7" s="14" t="str">
        <f>'VariablesINPUT-FCC'!C11</f>
        <v>Infants</v>
      </c>
      <c r="C7" s="194" t="e">
        <f>H7</f>
        <v>#REF!</v>
      </c>
      <c r="D7" s="194" t="e">
        <f>C7/12</f>
        <v>#REF!</v>
      </c>
      <c r="E7" s="215" t="e">
        <f>C7*A7</f>
        <v>#REF!</v>
      </c>
      <c r="F7" s="214"/>
      <c r="G7" s="289" t="e">
        <f>$D$45/A$11*Infants/Infants</f>
        <v>#REF!</v>
      </c>
      <c r="H7" s="290" t="e">
        <f>SUM(G7,J10)</f>
        <v>#REF!</v>
      </c>
      <c r="I7" s="287"/>
      <c r="J7" s="288"/>
      <c r="K7" s="166"/>
      <c r="L7" s="166"/>
      <c r="M7" s="167"/>
      <c r="N7" s="167"/>
      <c r="O7" s="168"/>
      <c r="P7" s="157"/>
      <c r="Q7" s="157"/>
    </row>
    <row r="8" spans="1:20" ht="14" customHeight="1" x14ac:dyDescent="0.2">
      <c r="A8" s="14">
        <f>'VariablesINPUT-FCC'!B12</f>
        <v>2</v>
      </c>
      <c r="B8" s="14" t="str">
        <f>'VariablesINPUT-FCC'!C12</f>
        <v>Toddlers</v>
      </c>
      <c r="C8" s="194" t="e">
        <f t="shared" ref="C8:C10" si="0">H8</f>
        <v>#REF!</v>
      </c>
      <c r="D8" s="194" t="e">
        <f>C8/12</f>
        <v>#REF!</v>
      </c>
      <c r="E8" s="215" t="e">
        <f t="shared" ref="E8:E10" si="1">C8*A8</f>
        <v>#REF!</v>
      </c>
      <c r="F8" s="214"/>
      <c r="G8" s="322" t="e">
        <f>$D$45/A$11*Toddlers/Toddlers</f>
        <v>#REF!</v>
      </c>
      <c r="H8" s="290" t="e">
        <f>SUM(G8,J10)</f>
        <v>#REF!</v>
      </c>
      <c r="I8" s="287"/>
      <c r="J8" s="291"/>
      <c r="K8" s="166"/>
      <c r="L8" s="166"/>
      <c r="M8" s="167"/>
      <c r="N8" s="167"/>
      <c r="O8" s="168"/>
      <c r="P8" s="157"/>
      <c r="Q8" s="43"/>
    </row>
    <row r="9" spans="1:20" ht="14" customHeight="1" x14ac:dyDescent="0.2">
      <c r="A9" s="14">
        <f>'VariablesINPUT-FCC'!B13</f>
        <v>2</v>
      </c>
      <c r="B9" s="14" t="str">
        <f>'VariablesINPUT-FCC'!C13</f>
        <v>Preschoolers</v>
      </c>
      <c r="C9" s="194" t="e">
        <f t="shared" si="0"/>
        <v>#REF!</v>
      </c>
      <c r="D9" s="194" t="e">
        <f>C9/12</f>
        <v>#REF!</v>
      </c>
      <c r="E9" s="215" t="e">
        <f t="shared" si="1"/>
        <v>#REF!</v>
      </c>
      <c r="F9" s="214"/>
      <c r="G9" s="323" t="e">
        <f>$D$45/A$11*Preschoolers/Preschoolers</f>
        <v>#REF!</v>
      </c>
      <c r="H9" s="290" t="e">
        <f>SUM(G9,J10)</f>
        <v>#REF!</v>
      </c>
      <c r="I9" s="287"/>
      <c r="J9" s="291"/>
      <c r="K9" s="166"/>
      <c r="L9" s="167"/>
      <c r="M9" s="167"/>
      <c r="N9" s="167"/>
      <c r="O9" s="168"/>
      <c r="P9" s="157"/>
      <c r="Q9" s="43"/>
    </row>
    <row r="10" spans="1:20" ht="14" customHeight="1" x14ac:dyDescent="0.15">
      <c r="A10" s="14">
        <f>'VariablesINPUT-FCC'!B14</f>
        <v>1</v>
      </c>
      <c r="B10" s="14" t="str">
        <f>'VariablesINPUT-FCC'!C14</f>
        <v>School age</v>
      </c>
      <c r="C10" s="194" t="e">
        <f t="shared" si="0"/>
        <v>#REF!</v>
      </c>
      <c r="D10" s="194" t="e">
        <f>C10/12</f>
        <v>#REF!</v>
      </c>
      <c r="E10" s="215" t="e">
        <f t="shared" si="1"/>
        <v>#REF!</v>
      </c>
      <c r="F10" s="214"/>
      <c r="G10" s="324" t="e">
        <f>$D$45/A$11*Schoolagers</f>
        <v>#REF!</v>
      </c>
      <c r="H10" s="290" t="e">
        <f>G10*60%</f>
        <v>#REF!</v>
      </c>
      <c r="I10" s="294" t="e">
        <f>G10-H10</f>
        <v>#REF!</v>
      </c>
      <c r="J10" s="295" t="e">
        <f>I10/SUM(A7:A9)</f>
        <v>#REF!</v>
      </c>
      <c r="K10" s="166"/>
      <c r="L10" s="166"/>
      <c r="M10" s="166"/>
      <c r="N10" s="166"/>
      <c r="O10" s="169"/>
      <c r="P10" s="157"/>
      <c r="Q10" s="43"/>
    </row>
    <row r="11" spans="1:20" ht="14" customHeight="1" x14ac:dyDescent="0.15">
      <c r="A11" s="26">
        <f>SUM(A7:A10)</f>
        <v>6</v>
      </c>
      <c r="B11" s="44"/>
      <c r="C11" s="44"/>
      <c r="D11" s="44"/>
      <c r="E11" s="284" t="e">
        <f>SUM(E7:E10)</f>
        <v>#REF!</v>
      </c>
      <c r="H11" s="5"/>
      <c r="J11" s="165"/>
      <c r="K11" s="171"/>
      <c r="L11" s="171"/>
      <c r="M11" s="171"/>
      <c r="N11" s="207"/>
      <c r="O11" s="171"/>
      <c r="P11" s="157"/>
      <c r="Q11" s="43"/>
    </row>
    <row r="12" spans="1:20" ht="26" customHeight="1" x14ac:dyDescent="0.15">
      <c r="D12" s="40"/>
      <c r="E12" s="498"/>
      <c r="F12" s="498"/>
      <c r="G12" s="498"/>
      <c r="H12" s="498"/>
      <c r="I12" s="498"/>
      <c r="J12" s="43"/>
      <c r="K12" s="205"/>
      <c r="L12" s="205"/>
      <c r="M12" s="206"/>
      <c r="N12" s="206"/>
      <c r="O12" s="159"/>
      <c r="P12" s="157"/>
      <c r="Q12" s="43"/>
    </row>
    <row r="13" spans="1:20" s="216" customFormat="1" ht="17" x14ac:dyDescent="0.2">
      <c r="B13" s="217" t="s">
        <v>80</v>
      </c>
      <c r="C13" s="218"/>
      <c r="F13" s="219"/>
      <c r="K13" s="220"/>
      <c r="L13" s="220"/>
      <c r="M13" s="220"/>
      <c r="P13" s="221"/>
      <c r="Q13" s="221"/>
      <c r="R13" s="222"/>
      <c r="S13" s="223"/>
      <c r="T13" s="221"/>
    </row>
    <row r="14" spans="1:20" s="216" customFormat="1" ht="18" thickBot="1" x14ac:dyDescent="0.25">
      <c r="B14" s="224" t="s">
        <v>118</v>
      </c>
      <c r="C14" s="225"/>
      <c r="D14" s="226"/>
      <c r="E14" s="226"/>
      <c r="F14" s="226"/>
      <c r="G14" s="225"/>
      <c r="K14" s="220"/>
      <c r="L14" s="220"/>
      <c r="M14" s="220"/>
      <c r="P14" s="221"/>
      <c r="R14" s="222"/>
      <c r="S14" s="223"/>
      <c r="T14" s="221"/>
    </row>
    <row r="15" spans="1:20" s="216" customFormat="1" ht="16" x14ac:dyDescent="0.2">
      <c r="B15" s="227"/>
      <c r="C15" s="228"/>
      <c r="D15" s="216" t="s">
        <v>76</v>
      </c>
      <c r="E15" s="229" t="s">
        <v>119</v>
      </c>
      <c r="K15" s="220"/>
      <c r="L15" s="220"/>
      <c r="M15" s="220"/>
      <c r="P15" s="221"/>
      <c r="R15" s="222"/>
      <c r="S15" s="223"/>
      <c r="T15" s="221"/>
    </row>
    <row r="16" spans="1:20" s="216" customFormat="1" ht="14" x14ac:dyDescent="0.15">
      <c r="A16" s="230">
        <v>1</v>
      </c>
      <c r="B16" s="231" t="s">
        <v>120</v>
      </c>
      <c r="C16" s="228"/>
      <c r="D16" s="232">
        <f>IF('VariablesINPUT-FCC'!C27="Yes",'VariablesINPUT-FCC'!J26,Wages!E3*2080)</f>
        <v>27560</v>
      </c>
      <c r="E16" s="233">
        <f>D16*A16</f>
        <v>27560</v>
      </c>
      <c r="F16" s="325"/>
      <c r="G16" s="317" t="s">
        <v>193</v>
      </c>
      <c r="K16" s="220"/>
      <c r="L16" s="220"/>
      <c r="M16" s="220"/>
      <c r="R16" s="222"/>
      <c r="S16" s="223"/>
      <c r="T16" s="221"/>
    </row>
    <row r="17" spans="1:9" s="216" customFormat="1" ht="15" x14ac:dyDescent="0.2">
      <c r="A17" s="239">
        <f>SUM(A16:A16)</f>
        <v>1</v>
      </c>
      <c r="B17" s="240" t="s">
        <v>129</v>
      </c>
      <c r="D17" s="241"/>
      <c r="E17" s="242">
        <f>SUM(E16:E16)</f>
        <v>27560</v>
      </c>
      <c r="I17" s="238"/>
    </row>
    <row r="18" spans="1:9" x14ac:dyDescent="0.15">
      <c r="A18" s="36"/>
      <c r="C18" s="40"/>
      <c r="D18" s="5"/>
      <c r="E18" s="196"/>
      <c r="F18" s="73"/>
      <c r="G18" s="42"/>
    </row>
    <row r="19" spans="1:9" s="216" customFormat="1" ht="17" customHeight="1" x14ac:dyDescent="0.15">
      <c r="B19" s="243" t="s">
        <v>136</v>
      </c>
      <c r="C19" s="244"/>
      <c r="D19" s="255" t="s">
        <v>137</v>
      </c>
      <c r="F19" s="249"/>
      <c r="G19" s="245"/>
    </row>
    <row r="20" spans="1:9" s="216" customFormat="1" ht="14" x14ac:dyDescent="0.15">
      <c r="B20" s="231" t="s">
        <v>138</v>
      </c>
      <c r="C20" s="244"/>
      <c r="D20" s="255">
        <f>IF(Sick_Days&gt;0,(Sick_Days*Wages!E3*10),0)</f>
        <v>1325</v>
      </c>
      <c r="E20" s="274">
        <f>A17*D20</f>
        <v>1325</v>
      </c>
      <c r="F20" s="249"/>
      <c r="G20" s="245"/>
    </row>
    <row r="21" spans="1:9" s="216" customFormat="1" ht="14" x14ac:dyDescent="0.15">
      <c r="B21" s="231" t="s">
        <v>139</v>
      </c>
      <c r="C21" s="244"/>
      <c r="D21" s="255">
        <f>IF(Sick_Days&gt;0,(Sick_Days*Wages!E3*10),0)</f>
        <v>1325</v>
      </c>
      <c r="E21" s="274">
        <f>A17*D21</f>
        <v>1325</v>
      </c>
      <c r="F21" s="249"/>
      <c r="G21" s="245"/>
    </row>
    <row r="22" spans="1:9" s="216" customFormat="1" ht="14" x14ac:dyDescent="0.15">
      <c r="B22" s="256" t="s">
        <v>53</v>
      </c>
      <c r="C22" s="257">
        <v>5496</v>
      </c>
      <c r="D22" s="245">
        <f>IF(HealthIns="Yes",C22, "0")</f>
        <v>5496</v>
      </c>
      <c r="E22" s="245">
        <f>SUM(A16:A16)*D22</f>
        <v>5496</v>
      </c>
      <c r="F22" s="2" t="s">
        <v>194</v>
      </c>
      <c r="G22" s="245"/>
    </row>
    <row r="23" spans="1:9" s="216" customFormat="1" x14ac:dyDescent="0.15">
      <c r="B23" s="240" t="s">
        <v>141</v>
      </c>
      <c r="C23" s="258"/>
      <c r="D23" s="245"/>
      <c r="E23" s="259">
        <f>SUM(E20:E22)</f>
        <v>8146</v>
      </c>
      <c r="F23" s="249"/>
      <c r="G23" s="260"/>
    </row>
    <row r="24" spans="1:9" s="216" customFormat="1" x14ac:dyDescent="0.15">
      <c r="B24" s="256"/>
      <c r="C24" s="258"/>
      <c r="D24" s="245"/>
      <c r="E24" s="245"/>
      <c r="F24" s="249"/>
      <c r="G24" s="260"/>
    </row>
    <row r="25" spans="1:9" s="216" customFormat="1" x14ac:dyDescent="0.15">
      <c r="B25" s="240" t="s">
        <v>142</v>
      </c>
      <c r="C25" s="228"/>
      <c r="E25" s="254">
        <f>E17+E23</f>
        <v>35706</v>
      </c>
    </row>
    <row r="26" spans="1:9" ht="12.5" customHeight="1" x14ac:dyDescent="0.15">
      <c r="C26" s="38"/>
      <c r="D26" s="5"/>
      <c r="G26" s="10"/>
    </row>
    <row r="27" spans="1:9" x14ac:dyDescent="0.15">
      <c r="B27" s="61" t="s">
        <v>143</v>
      </c>
      <c r="C27" s="7"/>
      <c r="D27" s="6"/>
      <c r="E27" s="40"/>
      <c r="H27" s="60"/>
      <c r="I27" s="60"/>
    </row>
    <row r="28" spans="1:9" x14ac:dyDescent="0.15">
      <c r="B28" s="20" t="str">
        <f>QualVar!A7</f>
        <v>Family Engagement</v>
      </c>
      <c r="C28" s="7"/>
      <c r="D28" s="5">
        <f>IF('VariablesINPUT-FCC'!D31=QualVar!B7,QualVar!B10,IF('VariablesINPUT-FCC'!D31=QualVar!C7,QualVar!C10,IF('VariablesINPUT-FCC'!D31=QualVar!D7,QualVar!D10,0)))</f>
        <v>0</v>
      </c>
      <c r="E28" s="40"/>
    </row>
    <row r="29" spans="1:9" x14ac:dyDescent="0.15">
      <c r="B29" s="20" t="str">
        <f>QualVar!A12</f>
        <v>Professional Development Supports</v>
      </c>
      <c r="C29" s="7"/>
      <c r="D29" s="5">
        <f>IF('VariablesINPUT-FCC'!D32=QualVar!B12,QualVar!B17,IF('VariablesINPUT-FCC'!D32=QualVar!C12,QualVar!C17,IF('VariablesINPUT-FCC'!D32=QualVar!D12,QualVar!D17,0)))</f>
        <v>0</v>
      </c>
      <c r="E29" s="40"/>
    </row>
    <row r="30" spans="1:9" x14ac:dyDescent="0.15">
      <c r="B30" s="20" t="str">
        <f>QualVar!A19</f>
        <v>Curriculum Implementation Supports</v>
      </c>
      <c r="C30" s="7"/>
      <c r="D30" s="5">
        <f>IF('VariablesINPUT-FCC'!D33=QualVar!B19,QualVar!B21,IF('VariablesINPUT-FCC'!D33=QualVar!C19,QualVar!C21,IF('VariablesINPUT-FCC'!D33=QualVar!D19,QualVar!D21,0)))</f>
        <v>0</v>
      </c>
      <c r="E30" s="40"/>
    </row>
    <row r="31" spans="1:9" x14ac:dyDescent="0.15">
      <c r="B31" s="61" t="s">
        <v>195</v>
      </c>
      <c r="C31" s="7"/>
      <c r="D31" s="6"/>
      <c r="E31" s="40"/>
    </row>
    <row r="32" spans="1:9" x14ac:dyDescent="0.15">
      <c r="B32" s="20" t="str">
        <f>B28</f>
        <v>Family Engagement</v>
      </c>
      <c r="C32" s="7"/>
      <c r="D32" s="5" t="e">
        <f>IF('VariablesINPUT-FCC'!#REF!=QualVar!#REF!,QualVar!#REF!,
IF('VariablesINPUT-FCC'!#REF!=QualVar!#REF!,QualVar!#REF!,
IF('VariablesINPUT-FCC'!#REF!=QualVar!#REF!,QualVar!#REF!,
IF('VariablesINPUT-FCC'!#REF!=QualVar!#REF!,QualVar!#REF!,0))))</f>
        <v>#REF!</v>
      </c>
      <c r="E32" s="40"/>
    </row>
    <row r="33" spans="1:13" x14ac:dyDescent="0.15">
      <c r="B33" s="20" t="str">
        <f>B29</f>
        <v>Professional Development Supports</v>
      </c>
      <c r="C33" s="7"/>
      <c r="D33" s="5" t="e">
        <f>IF('VariablesINPUT-FCC'!#REF!=QualVar!#REF!,QualVar!#REF!,
IF('VariablesINPUT-FCC'!#REF!=QualVar!#REF!,QualVar!#REF!,
IF('VariablesINPUT-FCC'!#REF!=QualVar!#REF!,QualVar!#REF!,
IF('VariablesINPUT-FCC'!#REF!=QualVar!#REF!,QualVar!#REF!,0))))</f>
        <v>#REF!</v>
      </c>
      <c r="E33" s="40"/>
    </row>
    <row r="34" spans="1:13" x14ac:dyDescent="0.15">
      <c r="B34" s="20" t="str">
        <f>B30</f>
        <v>Curriculum Implementation Supports</v>
      </c>
      <c r="C34" s="7"/>
      <c r="D34" s="5" t="e">
        <f>IF('VariablesINPUT-FCC'!#REF!=QualVar!#REF!,QualVar!#REF!,
IF('VariablesINPUT-FCC'!#REF!=QualVar!#REF!,QualVar!#REF!,
IF('VariablesINPUT-FCC'!#REF!=QualVar!#REF!,QualVar!#REF!,
IF('VariablesINPUT-FCC'!#REF!=QualVar!#REF!,QualVar!#REF!,0))))</f>
        <v>#REF!</v>
      </c>
      <c r="E34" s="40"/>
    </row>
    <row r="35" spans="1:13" x14ac:dyDescent="0.15">
      <c r="B35" s="9" t="s">
        <v>144</v>
      </c>
      <c r="C35" s="7"/>
      <c r="D35" s="6" t="e">
        <f>SUM(D28:D34)</f>
        <v>#REF!</v>
      </c>
      <c r="E35" s="40"/>
      <c r="H35" s="17"/>
    </row>
    <row r="36" spans="1:13" x14ac:dyDescent="0.15">
      <c r="B36" s="9"/>
      <c r="C36" s="7"/>
      <c r="D36" s="6"/>
      <c r="E36" s="40"/>
      <c r="H36" s="17"/>
    </row>
    <row r="37" spans="1:13" s="216" customFormat="1" ht="18" thickBot="1" x14ac:dyDescent="0.25">
      <c r="B37" s="261" t="s">
        <v>196</v>
      </c>
      <c r="C37" s="262"/>
      <c r="D37" s="226"/>
      <c r="E37" s="263"/>
      <c r="F37" s="226"/>
      <c r="G37" s="226"/>
    </row>
    <row r="38" spans="1:13" s="216" customFormat="1" ht="14" x14ac:dyDescent="0.15">
      <c r="B38" s="318" t="s">
        <v>197</v>
      </c>
      <c r="E38" s="245"/>
    </row>
    <row r="39" spans="1:13" s="216" customFormat="1" ht="14" x14ac:dyDescent="0.15">
      <c r="B39" s="231" t="s">
        <v>147</v>
      </c>
      <c r="D39" s="245">
        <f>'Nonpersonnel PCQC'!E2*'License-Exempt profile'!TotalChildren</f>
        <v>1966</v>
      </c>
      <c r="I39" s="14"/>
      <c r="J39" s="14"/>
    </row>
    <row r="40" spans="1:13" s="216" customFormat="1" ht="14" x14ac:dyDescent="0.15">
      <c r="B40" s="231" t="s">
        <v>198</v>
      </c>
      <c r="D40" s="245">
        <f>'Nonpersonnel PCQC'!E3*'License-Exempt profile'!TotalChildren</f>
        <v>6870</v>
      </c>
    </row>
    <row r="41" spans="1:13" s="216" customFormat="1" ht="14" x14ac:dyDescent="0.15">
      <c r="B41" s="264" t="s">
        <v>92</v>
      </c>
      <c r="D41" s="245">
        <f>'Nonpersonnel PCQC'!E4*'License-Exempt profile'!TotalChildren</f>
        <v>4792</v>
      </c>
    </row>
    <row r="42" spans="1:13" s="216" customFormat="1" x14ac:dyDescent="0.15">
      <c r="B42" s="231"/>
      <c r="C42" s="240" t="s">
        <v>150</v>
      </c>
      <c r="D42" s="265">
        <f>SUM(D39:D41)</f>
        <v>13628</v>
      </c>
    </row>
    <row r="43" spans="1:13" ht="13" customHeight="1" x14ac:dyDescent="0.15">
      <c r="A43" s="37"/>
      <c r="B43" s="20" t="s">
        <v>151</v>
      </c>
      <c r="D43" s="16" t="e">
        <f>E43*(E25+QualityVarCost+D42)</f>
        <v>#REF!</v>
      </c>
      <c r="E43" s="195">
        <v>0</v>
      </c>
      <c r="F43" s="14" t="s">
        <v>152</v>
      </c>
      <c r="K43" s="17"/>
      <c r="L43" s="17"/>
      <c r="M43" s="5"/>
    </row>
    <row r="44" spans="1:13" ht="13" customHeight="1" x14ac:dyDescent="0.15">
      <c r="A44" s="37"/>
      <c r="B44" s="20"/>
      <c r="D44" s="16"/>
      <c r="E44" s="40"/>
      <c r="K44" s="17"/>
      <c r="L44" s="17"/>
      <c r="M44" s="5"/>
    </row>
    <row r="45" spans="1:13" x14ac:dyDescent="0.15">
      <c r="A45" s="43"/>
      <c r="B45" s="9" t="s">
        <v>153</v>
      </c>
      <c r="D45" s="27" t="e">
        <f>SUM(E25,QualityVarCost,D42,Reserve_Fund)</f>
        <v>#REF!</v>
      </c>
      <c r="G45" s="43"/>
    </row>
    <row r="46" spans="1:13" x14ac:dyDescent="0.15">
      <c r="D46" s="16"/>
      <c r="G46" s="60"/>
      <c r="K46" s="60"/>
      <c r="L46" s="60"/>
    </row>
    <row r="47" spans="1:13" ht="14" x14ac:dyDescent="0.15">
      <c r="B47" s="144" t="s">
        <v>199</v>
      </c>
      <c r="C47" s="321">
        <f>'VariablesINPUT-FCC'!I69</f>
        <v>356.01709760221155</v>
      </c>
      <c r="D47" s="320" t="s">
        <v>155</v>
      </c>
      <c r="E47" s="211"/>
      <c r="F47" s="211" t="s">
        <v>156</v>
      </c>
      <c r="G47" s="211" t="s">
        <v>157</v>
      </c>
      <c r="H47" s="211" t="s">
        <v>158</v>
      </c>
      <c r="I47" s="211"/>
    </row>
    <row r="48" spans="1:13" ht="14" x14ac:dyDescent="0.15">
      <c r="B48" s="144" t="s">
        <v>159</v>
      </c>
      <c r="C48" s="321">
        <f>'VariablesINPUT-FCC'!J69</f>
        <v>0</v>
      </c>
      <c r="D48" s="320" t="s">
        <v>155</v>
      </c>
      <c r="E48" s="211" t="s">
        <v>160</v>
      </c>
      <c r="F48" s="211" t="s">
        <v>161</v>
      </c>
      <c r="G48" s="211" t="s">
        <v>162</v>
      </c>
      <c r="H48" s="211" t="s">
        <v>163</v>
      </c>
      <c r="I48" s="211" t="s">
        <v>164</v>
      </c>
    </row>
    <row r="49" spans="1:9" x14ac:dyDescent="0.15">
      <c r="A49" s="14" t="s">
        <v>165</v>
      </c>
      <c r="C49" s="17"/>
      <c r="D49" s="159"/>
      <c r="E49" s="160"/>
      <c r="F49" s="43"/>
      <c r="G49" s="43"/>
      <c r="H49" s="43"/>
      <c r="I49" s="157"/>
    </row>
    <row r="50" spans="1:9" x14ac:dyDescent="0.15">
      <c r="A50" s="208">
        <f>SUM(A52:A59)</f>
        <v>6</v>
      </c>
      <c r="B50" s="1" t="s">
        <v>64</v>
      </c>
      <c r="C50" s="14" t="s">
        <v>166</v>
      </c>
      <c r="D50" s="43" t="s">
        <v>69</v>
      </c>
      <c r="E50" s="43"/>
      <c r="F50" s="43"/>
      <c r="G50" s="43"/>
      <c r="H50" s="43"/>
      <c r="I50" s="157"/>
    </row>
    <row r="51" spans="1:9" x14ac:dyDescent="0.15">
      <c r="A51" s="42">
        <f>'VariablesINPUT-FCC'!D59</f>
        <v>3</v>
      </c>
      <c r="B51" s="14" t="s">
        <v>167</v>
      </c>
      <c r="D51" s="210">
        <f>C51</f>
        <v>0</v>
      </c>
      <c r="E51" s="158"/>
      <c r="F51" s="282" t="s">
        <v>200</v>
      </c>
      <c r="G51" s="283" t="s">
        <v>201</v>
      </c>
      <c r="H51" s="43" t="s">
        <v>202</v>
      </c>
      <c r="I51" s="157"/>
    </row>
    <row r="52" spans="1:9" x14ac:dyDescent="0.15">
      <c r="A52" s="42">
        <f>'VariablesINPUT-FCC'!E54</f>
        <v>1</v>
      </c>
      <c r="B52" s="14" t="s">
        <v>168</v>
      </c>
      <c r="C52" s="14" t="e">
        <f>IF('VariablesINPUT-FCC'!#REF!="Registered FCC",G52,F52)</f>
        <v>#REF!</v>
      </c>
      <c r="D52" s="202" t="e">
        <f>A52*C52</f>
        <v>#REF!</v>
      </c>
      <c r="E52" s="16"/>
      <c r="F52" s="23">
        <f>IF(C$48="Statewide",'Tuition Rates'!C3,IF(C$48="Cluster 1",'Tuition Rates'!B11,IF(C$48="Cluster 2",'Tuition Rates'!C11,IF(C$48="Cluster 3",'Tuition Rates'!D11,))))*12</f>
        <v>0</v>
      </c>
      <c r="G52" s="281">
        <f>IF(C$48="Statewide",'Tuition Rates'!B3,IF(C$48="Cluster 1",'Tuition Rates'!B19,IF(C$48="Cluster 2",'Tuition Rates'!C19,IF(C$48="Cluster 3",'Tuition Rates'!D19,IF(C$48="Cluster 4",'Tuition Rates'!E19)))))*12</f>
        <v>0</v>
      </c>
    </row>
    <row r="53" spans="1:9" x14ac:dyDescent="0.15">
      <c r="A53" s="42">
        <f>'VariablesINPUT-FCC'!E55</f>
        <v>1</v>
      </c>
      <c r="B53" s="14" t="s">
        <v>169</v>
      </c>
      <c r="C53" s="14" t="e">
        <f>IF('VariablesINPUT-FCC'!#REF!="Registered FCC",G53,F53)</f>
        <v>#REF!</v>
      </c>
      <c r="D53" s="202" t="e">
        <f t="shared" ref="D53:D55" si="2">A53*C53</f>
        <v>#REF!</v>
      </c>
      <c r="E53" s="16"/>
      <c r="F53" s="23">
        <f>IF(C$48="Statewide",'Tuition Rates'!C4,IF(C$48="Cluster 1",'Tuition Rates'!B12,IF(C$48="Cluster 2",'Tuition Rates'!C12,IF(C$48="Cluster 3",'Tuition Rates'!D12,))))*12</f>
        <v>0</v>
      </c>
      <c r="G53" s="281">
        <f>IF(C$48="Statewide",'Tuition Rates'!B4,IF(C$48="Cluster 1",'Tuition Rates'!B20,IF(C$48="Cluster 2",'Tuition Rates'!C20,IF(C$48="Cluster 3",'Tuition Rates'!D20,IF(C$48="Cluster 4",'Tuition Rates'!E20)))))*12</f>
        <v>0</v>
      </c>
    </row>
    <row r="54" spans="1:9" x14ac:dyDescent="0.15">
      <c r="A54" s="42">
        <f>'VariablesINPUT-FCC'!E56</f>
        <v>1</v>
      </c>
      <c r="B54" s="14" t="s">
        <v>170</v>
      </c>
      <c r="C54" s="14" t="e">
        <f>IF('VariablesINPUT-FCC'!#REF!="Registered FCC",G54,F54)</f>
        <v>#REF!</v>
      </c>
      <c r="D54" s="202" t="e">
        <f t="shared" si="2"/>
        <v>#REF!</v>
      </c>
      <c r="E54" s="16"/>
      <c r="F54" s="23">
        <f>IF(C$48="Statewide",'Tuition Rates'!C5,IF(C$48="Cluster 1",'Tuition Rates'!B13,IF(C$48="Cluster 2",'Tuition Rates'!C13,IF(C$48="Cluster 3",'Tuition Rates'!D13,))))*12</f>
        <v>0</v>
      </c>
      <c r="G54" s="281">
        <f>IF(C$48="Statewide",'Tuition Rates'!B5,IF(C$48="Cluster 1",'Tuition Rates'!B21,IF(C$48="Cluster 2",'Tuition Rates'!C21,IF(C$48="Cluster 3",'Tuition Rates'!D21,IF(C$48="Cluster 4",'Tuition Rates'!E21)))))*12</f>
        <v>0</v>
      </c>
    </row>
    <row r="55" spans="1:9" x14ac:dyDescent="0.15">
      <c r="A55" s="42">
        <f>'VariablesINPUT-FCC'!E57</f>
        <v>0</v>
      </c>
      <c r="B55" s="14" t="s">
        <v>171</v>
      </c>
      <c r="C55" s="14" t="e">
        <f>IF('VariablesINPUT-FCC'!#REF!="Registered FCC",G55,F55)</f>
        <v>#REF!</v>
      </c>
      <c r="D55" s="202" t="e">
        <f t="shared" si="2"/>
        <v>#REF!</v>
      </c>
      <c r="E55" s="16"/>
      <c r="F55" s="23">
        <f>IF(C$48="Statewide",'Tuition Rates'!C6,IF(C$48="Cluster 1",'Tuition Rates'!B14,IF(C$48="Cluster 2",'Tuition Rates'!C14,IF(C$48="Cluster 3",'Tuition Rates'!D14,))))*12</f>
        <v>0</v>
      </c>
      <c r="G55" s="281">
        <f>IF(C$48="Statewide",'Tuition Rates'!B6,IF(C$48="Cluster 1",'Tuition Rates'!B22,IF(C$48="Cluster 2",'Tuition Rates'!C22,IF(C$48="Cluster 3",'Tuition Rates'!D22,IF(C$48="Cluster 4",'Tuition Rates'!E22)))))*12</f>
        <v>0</v>
      </c>
    </row>
    <row r="56" spans="1:9" x14ac:dyDescent="0.15">
      <c r="A56" s="42">
        <f>'VariablesINPUT-FCC'!C54</f>
        <v>0</v>
      </c>
      <c r="B56" s="14" t="s">
        <v>203</v>
      </c>
      <c r="C56" s="14" t="e">
        <f>H56</f>
        <v>#REF!</v>
      </c>
      <c r="D56" s="202" t="e">
        <f>A56*C56</f>
        <v>#REF!</v>
      </c>
      <c r="E56" s="16"/>
      <c r="F56" s="23"/>
      <c r="G56" s="281"/>
      <c r="H56" s="281" t="e">
        <f>IF(C$47="Urban",'Subsidy Rates'!D3,IF(C$47="Suburban",'Subsidy Rates'!#REF!,'Subsidy Rates'!#REF!))*12</f>
        <v>#REF!</v>
      </c>
    </row>
    <row r="57" spans="1:9" x14ac:dyDescent="0.15">
      <c r="A57" s="42">
        <f>'VariablesINPUT-FCC'!C55</f>
        <v>1</v>
      </c>
      <c r="B57" s="14" t="s">
        <v>204</v>
      </c>
      <c r="C57" s="14" t="e">
        <f t="shared" ref="C57:C59" si="3">H57</f>
        <v>#REF!</v>
      </c>
      <c r="D57" s="202" t="e">
        <f>A57*C57</f>
        <v>#REF!</v>
      </c>
      <c r="E57" s="16"/>
      <c r="F57" s="23"/>
      <c r="G57" s="281"/>
      <c r="H57" s="281" t="e">
        <f>IF(C$47="Urban",'Subsidy Rates'!D4,IF(C$47="Suburban",'Subsidy Rates'!#REF!,'Subsidy Rates'!#REF!))*12</f>
        <v>#REF!</v>
      </c>
    </row>
    <row r="58" spans="1:9" x14ac:dyDescent="0.15">
      <c r="A58" s="42">
        <f>'VariablesINPUT-FCC'!C56</f>
        <v>1</v>
      </c>
      <c r="B58" s="14" t="s">
        <v>205</v>
      </c>
      <c r="C58" s="14" t="e">
        <f t="shared" si="3"/>
        <v>#REF!</v>
      </c>
      <c r="D58" s="202" t="e">
        <f t="shared" ref="D58:D59" si="4">A58*C58</f>
        <v>#REF!</v>
      </c>
      <c r="E58" s="16"/>
      <c r="F58" s="23"/>
      <c r="G58" s="281"/>
      <c r="H58" s="281" t="e">
        <f>IF(C$47="Urban",'Subsidy Rates'!D5,IF(C$47="Suburban",'Subsidy Rates'!#REF!,'Subsidy Rates'!#REF!))*12</f>
        <v>#REF!</v>
      </c>
    </row>
    <row r="59" spans="1:9" x14ac:dyDescent="0.15">
      <c r="A59" s="42">
        <f>'VariablesINPUT-FCC'!C57</f>
        <v>1</v>
      </c>
      <c r="B59" s="14" t="s">
        <v>206</v>
      </c>
      <c r="C59" s="14" t="e">
        <f t="shared" si="3"/>
        <v>#REF!</v>
      </c>
      <c r="D59" s="202" t="e">
        <f t="shared" si="4"/>
        <v>#REF!</v>
      </c>
      <c r="E59" s="16"/>
      <c r="F59" s="23"/>
      <c r="G59" s="281"/>
      <c r="H59" s="281" t="e">
        <f>IF(C$47="Urban",'Subsidy Rates'!#REF!,IF(C$47="Suburban",'Subsidy Rates'!#REF!,'Subsidy Rates'!#REF!))*12</f>
        <v>#REF!</v>
      </c>
    </row>
    <row r="60" spans="1:9" ht="14" thickBot="1" x14ac:dyDescent="0.2">
      <c r="B60" s="14" t="s">
        <v>181</v>
      </c>
      <c r="D60" s="203"/>
      <c r="E60" s="16"/>
    </row>
    <row r="61" spans="1:9" x14ac:dyDescent="0.15">
      <c r="B61" s="13"/>
      <c r="D61" s="209" t="e">
        <f>SUM(D51:D60)</f>
        <v>#REF!</v>
      </c>
      <c r="E61" s="15" t="s">
        <v>182</v>
      </c>
      <c r="H61" s="49" t="s">
        <v>183</v>
      </c>
      <c r="I61" s="197"/>
    </row>
    <row r="62" spans="1:9" x14ac:dyDescent="0.15">
      <c r="H62" s="50" t="s">
        <v>184</v>
      </c>
      <c r="I62" s="198" t="e">
        <f>C7*Infants</f>
        <v>#REF!</v>
      </c>
    </row>
    <row r="63" spans="1:9" x14ac:dyDescent="0.15">
      <c r="B63" s="155" t="s">
        <v>185</v>
      </c>
      <c r="C63" s="43"/>
      <c r="D63" s="43"/>
      <c r="E63" s="43"/>
      <c r="F63" s="43"/>
      <c r="H63" s="50" t="s">
        <v>186</v>
      </c>
      <c r="I63" s="198" t="e">
        <f>C8*Toddlers</f>
        <v>#REF!</v>
      </c>
    </row>
    <row r="64" spans="1:9" x14ac:dyDescent="0.15">
      <c r="B64" s="43" t="s">
        <v>187</v>
      </c>
      <c r="C64" s="156">
        <v>0.15</v>
      </c>
      <c r="D64" s="157" t="e">
        <f>C64*(D61-D60)</f>
        <v>#REF!</v>
      </c>
      <c r="E64" s="43"/>
      <c r="F64" s="43"/>
      <c r="H64" s="50" t="s">
        <v>188</v>
      </c>
      <c r="I64" s="198" t="e">
        <f>C9*Preschoolers</f>
        <v>#REF!</v>
      </c>
    </row>
    <row r="65" spans="2:9" x14ac:dyDescent="0.15">
      <c r="B65" s="43" t="s">
        <v>189</v>
      </c>
      <c r="C65" s="156">
        <v>1</v>
      </c>
      <c r="D65" s="158" t="e">
        <f>(1-C65)*(D61-D64-D60)</f>
        <v>#REF!</v>
      </c>
      <c r="E65" s="43"/>
      <c r="F65" s="43"/>
      <c r="H65" s="50" t="s">
        <v>3</v>
      </c>
      <c r="I65" s="204" t="e">
        <f>C10*Schoolagers</f>
        <v>#REF!</v>
      </c>
    </row>
    <row r="66" spans="2:9" x14ac:dyDescent="0.15">
      <c r="B66" s="43"/>
      <c r="C66" s="159"/>
      <c r="D66" s="160" t="e">
        <f>D61-D64-D65</f>
        <v>#REF!</v>
      </c>
      <c r="E66" s="161" t="s">
        <v>190</v>
      </c>
      <c r="F66" s="43"/>
      <c r="H66" s="51" t="s">
        <v>69</v>
      </c>
      <c r="I66" s="199" t="e">
        <f>SUM(I62:I65)</f>
        <v>#REF!</v>
      </c>
    </row>
    <row r="67" spans="2:9" ht="14" thickBot="1" x14ac:dyDescent="0.2">
      <c r="B67" s="162" t="s">
        <v>191</v>
      </c>
      <c r="C67" s="162"/>
      <c r="D67" s="163" t="e">
        <f>D66-D45</f>
        <v>#REF!</v>
      </c>
      <c r="E67" s="164" t="e">
        <f>D67/D45</f>
        <v>#REF!</v>
      </c>
      <c r="F67" s="162" t="s">
        <v>152</v>
      </c>
      <c r="H67" s="200"/>
      <c r="I67" s="201" t="e">
        <f>I66-D45</f>
        <v>#REF!</v>
      </c>
    </row>
  </sheetData>
  <mergeCells count="1">
    <mergeCell ref="E12:I12"/>
  </mergeCells>
  <conditionalFormatting sqref="I67">
    <cfRule type="cellIs" dxfId="0" priority="1" operator="lessThan">
      <formula>0</formula>
    </cfRule>
  </conditionalFormatting>
  <pageMargins left="0.25" right="0.25" top="0.25" bottom="0.25" header="0" footer="0"/>
  <pageSetup paperSize="5" scale="92" orientation="landscape" horizontalDpi="4294967293" verticalDpi="0" r:id="rId1"/>
  <headerFooter alignWithMargins="0"/>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F50A-16A9-AD4C-8EEA-3C56E15DD8AF}">
  <sheetPr codeName="Sheet4">
    <tabColor theme="9" tint="0.79998168889431442"/>
  </sheetPr>
  <dimension ref="A1:L33"/>
  <sheetViews>
    <sheetView workbookViewId="0">
      <selection activeCell="F79" sqref="F79"/>
    </sheetView>
  </sheetViews>
  <sheetFormatPr baseColWidth="10" defaultColWidth="11.5" defaultRowHeight="13" x14ac:dyDescent="0.15"/>
  <cols>
    <col min="1" max="1" width="37.1640625" customWidth="1"/>
    <col min="2" max="3" width="14" customWidth="1"/>
    <col min="4" max="4" width="11.1640625" bestFit="1" customWidth="1"/>
    <col min="5" max="5" width="11.1640625" customWidth="1"/>
  </cols>
  <sheetData>
    <row r="1" spans="1:12" x14ac:dyDescent="0.15">
      <c r="A1" s="173" t="s">
        <v>207</v>
      </c>
      <c r="B1" s="275">
        <f>'Quality Home Profile'!C18/2080</f>
        <v>18.63</v>
      </c>
    </row>
    <row r="2" spans="1:12" x14ac:dyDescent="0.15">
      <c r="A2" s="35" t="s">
        <v>208</v>
      </c>
      <c r="B2" s="276">
        <f>'Quality Home Profile'!A19</f>
        <v>1</v>
      </c>
    </row>
    <row r="3" spans="1:12" x14ac:dyDescent="0.15">
      <c r="A3" s="35" t="s">
        <v>23</v>
      </c>
      <c r="B3" s="276">
        <f>'Quality Home Profile'!A16</f>
        <v>1</v>
      </c>
    </row>
    <row r="4" spans="1:12" s="131" customFormat="1" x14ac:dyDescent="0.15">
      <c r="A4" s="129"/>
      <c r="B4" s="130"/>
    </row>
    <row r="5" spans="1:12" x14ac:dyDescent="0.15">
      <c r="A5" s="52" t="s">
        <v>209</v>
      </c>
      <c r="B5" s="39">
        <f>'VariablesINPUT-FCC'!B15</f>
        <v>6</v>
      </c>
    </row>
    <row r="6" spans="1:12" x14ac:dyDescent="0.15">
      <c r="A6" s="14"/>
    </row>
    <row r="7" spans="1:12" x14ac:dyDescent="0.15">
      <c r="A7" s="128" t="s">
        <v>41</v>
      </c>
      <c r="B7" s="1" t="s">
        <v>5</v>
      </c>
      <c r="C7" s="1" t="s">
        <v>6</v>
      </c>
      <c r="D7" s="1" t="s">
        <v>7</v>
      </c>
      <c r="E7" s="1" t="s">
        <v>8</v>
      </c>
      <c r="F7" s="1"/>
    </row>
    <row r="8" spans="1:12" ht="12" customHeight="1" x14ac:dyDescent="0.15">
      <c r="A8" s="14" t="s">
        <v>210</v>
      </c>
      <c r="C8" s="4">
        <f>2*B5*B1*2</f>
        <v>447.12</v>
      </c>
      <c r="D8" s="4">
        <f>2*B5*B1*3</f>
        <v>670.68000000000006</v>
      </c>
      <c r="E8" s="4">
        <f>2*B5*B1*4</f>
        <v>894.24</v>
      </c>
      <c r="F8" s="4"/>
      <c r="G8" s="14" t="s">
        <v>211</v>
      </c>
    </row>
    <row r="9" spans="1:12" x14ac:dyDescent="0.15">
      <c r="A9" s="14" t="s">
        <v>212</v>
      </c>
      <c r="D9" s="67"/>
      <c r="E9" s="67">
        <f>L9*G9</f>
        <v>6916.695652173913</v>
      </c>
      <c r="F9" s="4"/>
      <c r="G9" s="5">
        <f>Wages!F10</f>
        <v>53028</v>
      </c>
      <c r="H9" s="14" t="s">
        <v>213</v>
      </c>
      <c r="L9">
        <f>B5/46</f>
        <v>0.13043478260869565</v>
      </c>
    </row>
    <row r="10" spans="1:12" x14ac:dyDescent="0.15">
      <c r="A10" s="64" t="s">
        <v>69</v>
      </c>
      <c r="B10" s="24">
        <f>SUM(B8:B9)</f>
        <v>0</v>
      </c>
      <c r="C10" s="66">
        <f>SUM(C8:C9)</f>
        <v>447.12</v>
      </c>
      <c r="D10" s="66">
        <f>SUM(D8:D9)</f>
        <v>670.68000000000006</v>
      </c>
      <c r="E10" s="66">
        <f>SUM(E8:E9)</f>
        <v>7810.9356521739128</v>
      </c>
      <c r="F10" s="66"/>
    </row>
    <row r="12" spans="1:12" x14ac:dyDescent="0.15">
      <c r="A12" s="128" t="s">
        <v>44</v>
      </c>
      <c r="B12" s="1" t="str">
        <f>B7</f>
        <v>Licensing</v>
      </c>
      <c r="C12" s="1" t="str">
        <f t="shared" ref="C12:E12" si="0">C7</f>
        <v>Point 2</v>
      </c>
      <c r="D12" s="1" t="str">
        <f t="shared" si="0"/>
        <v>Point 3</v>
      </c>
      <c r="E12" s="1" t="str">
        <f t="shared" si="0"/>
        <v>Point 4</v>
      </c>
      <c r="F12" s="1"/>
    </row>
    <row r="13" spans="1:12" x14ac:dyDescent="0.15">
      <c r="A13" s="14" t="s">
        <v>214</v>
      </c>
      <c r="B13" s="8"/>
      <c r="C13" s="8"/>
      <c r="D13" s="8"/>
      <c r="E13" s="8">
        <f>B3*B1*40</f>
        <v>745.19999999999993</v>
      </c>
      <c r="F13" s="8"/>
      <c r="G13" s="14" t="s">
        <v>215</v>
      </c>
    </row>
    <row r="14" spans="1:12" x14ac:dyDescent="0.15">
      <c r="A14" s="14" t="s">
        <v>216</v>
      </c>
      <c r="B14" s="8"/>
      <c r="C14" s="8"/>
      <c r="D14" s="8"/>
      <c r="E14" s="8">
        <f>B2*B1*40</f>
        <v>745.19999999999993</v>
      </c>
      <c r="F14" s="8"/>
      <c r="G14" s="14"/>
    </row>
    <row r="15" spans="1:12" x14ac:dyDescent="0.15">
      <c r="A15" s="14" t="s">
        <v>217</v>
      </c>
      <c r="B15" s="8"/>
      <c r="C15" s="8">
        <f>SUM(B2)*B1*2*52</f>
        <v>1937.52</v>
      </c>
      <c r="D15" s="8">
        <f>SUM(B2)*B1*5*52</f>
        <v>4843.7999999999993</v>
      </c>
      <c r="E15" s="8">
        <f>SUM(B3)*B1*20*52</f>
        <v>19375.199999999997</v>
      </c>
      <c r="F15" s="8"/>
      <c r="G15" s="14"/>
    </row>
    <row r="16" spans="1:12" x14ac:dyDescent="0.15">
      <c r="A16" s="14" t="s">
        <v>218</v>
      </c>
      <c r="B16" s="8"/>
      <c r="C16" s="8"/>
      <c r="D16" s="8"/>
      <c r="E16" s="8">
        <f>L16*55720</f>
        <v>13930</v>
      </c>
      <c r="F16" s="8"/>
      <c r="G16" s="216" t="s">
        <v>219</v>
      </c>
      <c r="H16" s="216"/>
      <c r="I16" s="216"/>
      <c r="J16" s="216"/>
      <c r="K16" s="216"/>
      <c r="L16" s="216">
        <f>IF(C5&lt;46,0.25,IF(C5&lt;64,0.5,IF(C5&lt;93,1,0)))</f>
        <v>0.25</v>
      </c>
    </row>
    <row r="17" spans="1:12" x14ac:dyDescent="0.15">
      <c r="A17" s="64" t="s">
        <v>69</v>
      </c>
      <c r="B17" s="328">
        <f>SUM(B13:B15)</f>
        <v>0</v>
      </c>
      <c r="C17" s="328">
        <f>SUM(C13:C15)</f>
        <v>1937.52</v>
      </c>
      <c r="D17" s="328">
        <f>SUM(D13:D15)</f>
        <v>4843.7999999999993</v>
      </c>
      <c r="E17" s="328">
        <f>SUM(E13:E15)</f>
        <v>20865.599999999999</v>
      </c>
      <c r="F17" s="328"/>
    </row>
    <row r="19" spans="1:12" x14ac:dyDescent="0.15">
      <c r="A19" s="128" t="str">
        <f>'VariablesINPUT-FCC'!C33</f>
        <v>Curriculum Implementation Supports</v>
      </c>
      <c r="B19" s="1" t="str">
        <f>B12</f>
        <v>Licensing</v>
      </c>
      <c r="C19" s="1" t="str">
        <f>C12</f>
        <v>Point 2</v>
      </c>
      <c r="D19" s="1" t="str">
        <f>D12</f>
        <v>Point 3</v>
      </c>
      <c r="E19" s="1" t="str">
        <f>E12</f>
        <v>Point 4</v>
      </c>
      <c r="F19" s="1"/>
    </row>
    <row r="20" spans="1:12" x14ac:dyDescent="0.15">
      <c r="A20" s="1"/>
      <c r="B20" s="1"/>
      <c r="C20" s="1"/>
      <c r="D20" s="8">
        <f>150*3*52</f>
        <v>23400</v>
      </c>
      <c r="E20" s="8">
        <f>150*5*52</f>
        <v>39000</v>
      </c>
      <c r="F20" s="8"/>
      <c r="G20" s="14" t="s">
        <v>220</v>
      </c>
    </row>
    <row r="21" spans="1:12" x14ac:dyDescent="0.15">
      <c r="A21" s="64" t="s">
        <v>69</v>
      </c>
      <c r="B21" s="68">
        <f>B20</f>
        <v>0</v>
      </c>
      <c r="C21" s="68">
        <f t="shared" ref="C21:E21" si="1">C20</f>
        <v>0</v>
      </c>
      <c r="D21" s="68">
        <f t="shared" si="1"/>
        <v>23400</v>
      </c>
      <c r="E21" s="68">
        <f t="shared" si="1"/>
        <v>39000</v>
      </c>
      <c r="F21" s="68"/>
      <c r="G21" s="14"/>
    </row>
    <row r="22" spans="1:12" x14ac:dyDescent="0.15">
      <c r="A22" s="9"/>
      <c r="B22" s="4"/>
      <c r="C22" s="4"/>
      <c r="D22" s="4"/>
      <c r="E22" s="4"/>
      <c r="F22" s="4"/>
      <c r="G22" s="14"/>
    </row>
    <row r="23" spans="1:12" x14ac:dyDescent="0.15">
      <c r="A23" s="128" t="str">
        <f>'VariablesINPUT-FCC'!B34</f>
        <v>Educational Materials</v>
      </c>
      <c r="B23" s="4" t="str">
        <f>B19</f>
        <v>Licensing</v>
      </c>
      <c r="C23" s="4" t="str">
        <f t="shared" ref="C23:E23" si="2">C19</f>
        <v>Point 2</v>
      </c>
      <c r="D23" s="4" t="str">
        <f t="shared" si="2"/>
        <v>Point 3</v>
      </c>
      <c r="E23" s="4" t="str">
        <f t="shared" si="2"/>
        <v>Point 4</v>
      </c>
      <c r="F23" s="4"/>
      <c r="G23" s="14"/>
    </row>
    <row r="24" spans="1:12" x14ac:dyDescent="0.15">
      <c r="A24" s="14" t="s">
        <v>221</v>
      </c>
      <c r="B24" s="4"/>
      <c r="C24" s="4">
        <f>50*B5</f>
        <v>300</v>
      </c>
      <c r="D24" s="4">
        <f>75*B5</f>
        <v>450</v>
      </c>
      <c r="E24" s="4">
        <f>100*B5</f>
        <v>600</v>
      </c>
      <c r="F24" s="4"/>
      <c r="G24" s="14"/>
    </row>
    <row r="25" spans="1:12" x14ac:dyDescent="0.15">
      <c r="A25" s="64" t="s">
        <v>69</v>
      </c>
      <c r="B25" s="66">
        <f>SUM(B24)</f>
        <v>0</v>
      </c>
      <c r="C25" s="66">
        <f>SUM(C24)</f>
        <v>300</v>
      </c>
      <c r="D25" s="66">
        <f>SUM(D24)</f>
        <v>450</v>
      </c>
      <c r="E25" s="66">
        <f>SUM(E24)</f>
        <v>600</v>
      </c>
      <c r="F25" s="66"/>
    </row>
    <row r="26" spans="1:12" x14ac:dyDescent="0.15">
      <c r="A26" s="9"/>
      <c r="B26" s="345"/>
      <c r="C26" s="345"/>
      <c r="D26" s="345"/>
      <c r="E26" s="345"/>
      <c r="F26" s="345"/>
    </row>
    <row r="27" spans="1:12" x14ac:dyDescent="0.15">
      <c r="A27" s="128" t="str">
        <f>'VariablesINPUT-FCC'!C35</f>
        <v>Comprehensive Health and Development</v>
      </c>
      <c r="B27" s="1" t="str">
        <f>B19</f>
        <v>Licensing</v>
      </c>
      <c r="C27" s="1" t="str">
        <f t="shared" ref="C27:E27" si="3">C19</f>
        <v>Point 2</v>
      </c>
      <c r="D27" s="1" t="str">
        <f t="shared" si="3"/>
        <v>Point 3</v>
      </c>
      <c r="E27" s="1" t="str">
        <f t="shared" si="3"/>
        <v>Point 4</v>
      </c>
      <c r="F27" s="1"/>
    </row>
    <row r="28" spans="1:12" x14ac:dyDescent="0.15">
      <c r="A28" s="1"/>
      <c r="B28" s="1"/>
      <c r="C28" s="1"/>
      <c r="D28" s="1">
        <f>B5*3*100</f>
        <v>1800</v>
      </c>
      <c r="E28" s="18">
        <f>L28*(G28/2080)</f>
        <v>3568.9846153846152</v>
      </c>
      <c r="F28" s="1"/>
      <c r="G28" s="14">
        <f>Wages!G10</f>
        <v>38664</v>
      </c>
      <c r="L28">
        <f>16*12</f>
        <v>192</v>
      </c>
    </row>
    <row r="29" spans="1:12" x14ac:dyDescent="0.15">
      <c r="A29" s="64" t="s">
        <v>69</v>
      </c>
      <c r="B29" s="66">
        <f>SUM(B28)</f>
        <v>0</v>
      </c>
      <c r="C29" s="66">
        <f>SUM(C28)</f>
        <v>0</v>
      </c>
      <c r="D29" s="66">
        <f>SUM(D28)</f>
        <v>1800</v>
      </c>
      <c r="E29" s="66">
        <f>SUM(E28)</f>
        <v>3568.9846153846152</v>
      </c>
      <c r="F29" s="66"/>
    </row>
    <row r="31" spans="1:12" x14ac:dyDescent="0.15">
      <c r="A31" s="128" t="str">
        <f>'VariablesINPUT-FCC'!B36</f>
        <v>Inclusion Materials</v>
      </c>
      <c r="B31" s="1" t="str">
        <f>B27</f>
        <v>Licensing</v>
      </c>
      <c r="C31" s="1" t="str">
        <f t="shared" ref="C31:E31" si="4">C27</f>
        <v>Point 2</v>
      </c>
      <c r="D31" s="1" t="str">
        <f t="shared" si="4"/>
        <v>Point 3</v>
      </c>
      <c r="E31" s="1" t="str">
        <f t="shared" si="4"/>
        <v>Point 4</v>
      </c>
      <c r="F31" s="1"/>
    </row>
    <row r="32" spans="1:12" x14ac:dyDescent="0.15">
      <c r="A32" s="14" t="s">
        <v>221</v>
      </c>
      <c r="D32" s="21"/>
      <c r="E32" s="196">
        <f>'VariablesINPUT-FCC'!D37*250</f>
        <v>0</v>
      </c>
      <c r="G32" s="14" t="s">
        <v>222</v>
      </c>
    </row>
    <row r="33" spans="1:6" x14ac:dyDescent="0.15">
      <c r="A33" s="64" t="s">
        <v>69</v>
      </c>
      <c r="B33" s="68"/>
      <c r="C33" s="68"/>
      <c r="D33" s="66">
        <f>SUM(D32:D32)</f>
        <v>0</v>
      </c>
      <c r="E33" s="66">
        <f>SUM(E32:E32)</f>
        <v>0</v>
      </c>
      <c r="F33" s="6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tint="-0.14999847407452621"/>
  </sheetPr>
  <dimension ref="A1:G53"/>
  <sheetViews>
    <sheetView topLeftCell="A18" zoomScale="138" workbookViewId="0">
      <selection activeCell="F79" sqref="F79"/>
    </sheetView>
  </sheetViews>
  <sheetFormatPr baseColWidth="10" defaultColWidth="8.83203125" defaultRowHeight="13" x14ac:dyDescent="0.15"/>
  <cols>
    <col min="1" max="1" width="22.83203125" customWidth="1"/>
    <col min="2" max="2" width="19.83203125" customWidth="1"/>
    <col min="3" max="3" width="16.6640625" customWidth="1"/>
    <col min="4" max="4" width="16.1640625" customWidth="1"/>
    <col min="5" max="5" width="10.5" bestFit="1" customWidth="1"/>
    <col min="6" max="6" width="11.5" bestFit="1" customWidth="1"/>
    <col min="7" max="7" width="10.5" bestFit="1" customWidth="1"/>
  </cols>
  <sheetData>
    <row r="1" spans="1:7" ht="29.25" customHeight="1" x14ac:dyDescent="0.15">
      <c r="A1" s="1" t="s">
        <v>223</v>
      </c>
      <c r="B1" s="25" t="s">
        <v>224</v>
      </c>
      <c r="C1" s="14"/>
      <c r="D1" s="1" t="s">
        <v>202</v>
      </c>
    </row>
    <row r="2" spans="1:7" x14ac:dyDescent="0.15">
      <c r="D2" t="s">
        <v>92</v>
      </c>
      <c r="E2" s="319">
        <f>983/3</f>
        <v>327.66666666666669</v>
      </c>
    </row>
    <row r="3" spans="1:7" x14ac:dyDescent="0.15">
      <c r="D3" t="s">
        <v>225</v>
      </c>
      <c r="E3" s="319">
        <f>3435/3</f>
        <v>1145</v>
      </c>
    </row>
    <row r="4" spans="1:7" ht="24" customHeight="1" x14ac:dyDescent="0.15">
      <c r="A4" s="15" t="s">
        <v>226</v>
      </c>
      <c r="B4" s="14">
        <v>179</v>
      </c>
      <c r="D4" t="s">
        <v>227</v>
      </c>
      <c r="E4" s="319">
        <f>2396/3</f>
        <v>798.66666666666663</v>
      </c>
    </row>
    <row r="5" spans="1:7" x14ac:dyDescent="0.15">
      <c r="A5" s="14" t="s">
        <v>228</v>
      </c>
      <c r="B5" s="14">
        <v>327</v>
      </c>
    </row>
    <row r="6" spans="1:7" x14ac:dyDescent="0.15">
      <c r="A6" s="14" t="s">
        <v>229</v>
      </c>
      <c r="B6" s="14">
        <v>329</v>
      </c>
    </row>
    <row r="7" spans="1:7" x14ac:dyDescent="0.15">
      <c r="A7" s="14" t="s">
        <v>230</v>
      </c>
      <c r="B7" s="14">
        <v>588</v>
      </c>
    </row>
    <row r="8" spans="1:7" x14ac:dyDescent="0.15">
      <c r="A8" s="16" t="s">
        <v>231</v>
      </c>
      <c r="B8" s="16">
        <v>153.79</v>
      </c>
    </row>
    <row r="9" spans="1:7" x14ac:dyDescent="0.15">
      <c r="A9" s="16" t="s">
        <v>232</v>
      </c>
      <c r="B9" s="16">
        <v>782.84</v>
      </c>
    </row>
    <row r="10" spans="1:7" x14ac:dyDescent="0.15">
      <c r="A10" s="16" t="s">
        <v>233</v>
      </c>
      <c r="B10" s="16">
        <v>237.1</v>
      </c>
    </row>
    <row r="11" spans="1:7" x14ac:dyDescent="0.15">
      <c r="A11" s="16" t="s">
        <v>234</v>
      </c>
      <c r="B11" s="16">
        <v>313.99</v>
      </c>
    </row>
    <row r="12" spans="1:7" x14ac:dyDescent="0.15">
      <c r="A12" s="16" t="s">
        <v>235</v>
      </c>
      <c r="B12" s="16">
        <v>593.80999999999995</v>
      </c>
      <c r="C12" s="300"/>
    </row>
    <row r="13" spans="1:7" x14ac:dyDescent="0.15">
      <c r="A13" s="16" t="s">
        <v>236</v>
      </c>
      <c r="B13" s="16">
        <v>9804.7999999999993</v>
      </c>
    </row>
    <row r="14" spans="1:7" x14ac:dyDescent="0.15">
      <c r="A14" s="16" t="s">
        <v>237</v>
      </c>
      <c r="B14" s="16">
        <v>1668</v>
      </c>
      <c r="C14" s="45"/>
    </row>
    <row r="15" spans="1:7" x14ac:dyDescent="0.15">
      <c r="A15" s="16" t="s">
        <v>238</v>
      </c>
      <c r="B15" s="16">
        <v>296.89999999999998</v>
      </c>
      <c r="C15" s="45"/>
      <c r="D15" s="53"/>
      <c r="E15" s="53"/>
      <c r="F15" s="53"/>
      <c r="G15" s="53"/>
    </row>
    <row r="16" spans="1:7" x14ac:dyDescent="0.15">
      <c r="A16" s="14" t="s">
        <v>239</v>
      </c>
      <c r="B16">
        <v>130</v>
      </c>
      <c r="C16" s="45"/>
      <c r="D16" s="18"/>
      <c r="E16" s="18"/>
      <c r="F16" s="18"/>
      <c r="G16" s="18"/>
    </row>
    <row r="17" spans="1:7" x14ac:dyDescent="0.15">
      <c r="A17" s="16" t="s">
        <v>240</v>
      </c>
      <c r="B17" s="53">
        <v>130.30000000000001</v>
      </c>
      <c r="C17" s="45"/>
    </row>
    <row r="18" spans="1:7" x14ac:dyDescent="0.15">
      <c r="B18" s="53"/>
    </row>
    <row r="19" spans="1:7" x14ac:dyDescent="0.15">
      <c r="A19" s="16" t="s">
        <v>241</v>
      </c>
      <c r="B19" s="16">
        <v>18756</v>
      </c>
      <c r="C19" s="53"/>
      <c r="D19" s="53"/>
      <c r="E19" s="53"/>
      <c r="F19" s="53"/>
      <c r="G19" s="53"/>
    </row>
    <row r="20" spans="1:7" x14ac:dyDescent="0.15">
      <c r="A20" s="16" t="s">
        <v>242</v>
      </c>
      <c r="B20" s="16">
        <v>875</v>
      </c>
      <c r="C20" s="18"/>
      <c r="D20" s="18"/>
      <c r="E20" s="18"/>
      <c r="F20" s="18"/>
      <c r="G20" s="18"/>
    </row>
    <row r="21" spans="1:7" x14ac:dyDescent="0.15">
      <c r="A21" s="16" t="s">
        <v>243</v>
      </c>
      <c r="B21" s="16">
        <v>652.54999999999995</v>
      </c>
      <c r="C21" s="45"/>
    </row>
    <row r="22" spans="1:7" x14ac:dyDescent="0.15">
      <c r="A22" s="53" t="s">
        <v>244</v>
      </c>
      <c r="B22" s="53">
        <v>4431.72</v>
      </c>
      <c r="C22" s="45"/>
    </row>
    <row r="23" spans="1:7" x14ac:dyDescent="0.15">
      <c r="A23" s="53" t="s">
        <v>245</v>
      </c>
      <c r="B23" s="53">
        <v>314.3</v>
      </c>
    </row>
    <row r="24" spans="1:7" x14ac:dyDescent="0.15">
      <c r="A24" s="280" t="s">
        <v>69</v>
      </c>
      <c r="B24" s="46">
        <f>SUM(B19:B23)</f>
        <v>25029.57</v>
      </c>
    </row>
    <row r="26" spans="1:7" x14ac:dyDescent="0.15">
      <c r="A26" s="54" t="s">
        <v>246</v>
      </c>
      <c r="B26" s="55">
        <v>75</v>
      </c>
    </row>
    <row r="27" spans="1:7" x14ac:dyDescent="0.15">
      <c r="A27" s="56" t="s">
        <v>247</v>
      </c>
      <c r="B27" s="57">
        <v>1200</v>
      </c>
    </row>
    <row r="28" spans="1:7" ht="12" customHeight="1" x14ac:dyDescent="0.15">
      <c r="A28" s="56" t="s">
        <v>248</v>
      </c>
      <c r="B28" s="279">
        <v>2400</v>
      </c>
    </row>
    <row r="29" spans="1:7" x14ac:dyDescent="0.15">
      <c r="A29" s="58" t="s">
        <v>249</v>
      </c>
      <c r="B29" s="277">
        <f>SUM(B26/(24*7)*(B27/B28))</f>
        <v>0.22321428571428573</v>
      </c>
    </row>
    <row r="30" spans="1:7" x14ac:dyDescent="0.15">
      <c r="A30" s="278"/>
      <c r="B30" s="278"/>
    </row>
    <row r="31" spans="1:7" x14ac:dyDescent="0.15">
      <c r="A31" s="16"/>
      <c r="B31" s="16"/>
    </row>
    <row r="32" spans="1:7" x14ac:dyDescent="0.15">
      <c r="A32" s="16" t="s">
        <v>250</v>
      </c>
      <c r="B32" s="16">
        <f>SUM(B4:B17)</f>
        <v>15534.529999999999</v>
      </c>
    </row>
    <row r="33" spans="1:3" x14ac:dyDescent="0.15">
      <c r="A33" s="16" t="s">
        <v>251</v>
      </c>
      <c r="B33" s="16">
        <f>B24*B29</f>
        <v>5586.9575892857147</v>
      </c>
    </row>
    <row r="34" spans="1:3" x14ac:dyDescent="0.15">
      <c r="A34" s="6"/>
      <c r="B34" s="6"/>
    </row>
    <row r="35" spans="1:3" x14ac:dyDescent="0.15">
      <c r="A35" s="5" t="s">
        <v>96</v>
      </c>
      <c r="B35" s="4">
        <f>SUM(B32:B33)</f>
        <v>21121.487589285713</v>
      </c>
      <c r="C35" s="8"/>
    </row>
    <row r="36" spans="1:3" x14ac:dyDescent="0.15">
      <c r="A36" s="4"/>
      <c r="B36" s="4"/>
    </row>
    <row r="37" spans="1:3" ht="14" thickBot="1" x14ac:dyDescent="0.2">
      <c r="A37" s="14"/>
      <c r="B37" s="14"/>
    </row>
    <row r="38" spans="1:3" ht="14" thickTop="1" x14ac:dyDescent="0.15">
      <c r="A38" s="28" t="s">
        <v>252</v>
      </c>
      <c r="B38" s="29">
        <f>SUM(B4,B5,B6,B7,B8,B9,B10,B11,B14,B16,B17)</f>
        <v>4839.0200000000004</v>
      </c>
      <c r="C38" s="300"/>
    </row>
    <row r="39" spans="1:3" x14ac:dyDescent="0.15">
      <c r="A39" s="30" t="s">
        <v>92</v>
      </c>
      <c r="B39" s="31">
        <f>B33</f>
        <v>5586.9575892857147</v>
      </c>
      <c r="C39" s="300"/>
    </row>
    <row r="40" spans="1:3" x14ac:dyDescent="0.15">
      <c r="A40" s="30" t="s">
        <v>253</v>
      </c>
      <c r="B40" s="32">
        <f>SUM(B13,B12,B15)</f>
        <v>10695.509999999998</v>
      </c>
      <c r="C40" s="300">
        <f>B40/6</f>
        <v>1782.5849999999998</v>
      </c>
    </row>
    <row r="41" spans="1:3" ht="14" thickBot="1" x14ac:dyDescent="0.2">
      <c r="A41" s="33"/>
      <c r="B41" s="34" t="s">
        <v>254</v>
      </c>
    </row>
    <row r="42" spans="1:3" ht="14" thickTop="1" x14ac:dyDescent="0.15"/>
    <row r="50" spans="1:3" x14ac:dyDescent="0.15">
      <c r="A50" s="427" t="s">
        <v>255</v>
      </c>
    </row>
    <row r="51" spans="1:3" x14ac:dyDescent="0.15">
      <c r="A51" s="428" t="s">
        <v>256</v>
      </c>
      <c r="B51" s="429"/>
    </row>
    <row r="52" spans="1:3" x14ac:dyDescent="0.15">
      <c r="A52" s="428" t="s">
        <v>257</v>
      </c>
      <c r="B52" s="430">
        <v>214</v>
      </c>
      <c r="C52" s="14" t="s">
        <v>258</v>
      </c>
    </row>
    <row r="53" spans="1:3" x14ac:dyDescent="0.15">
      <c r="A53" s="428" t="s">
        <v>259</v>
      </c>
      <c r="B53" s="430">
        <v>98</v>
      </c>
      <c r="C53" s="14" t="s">
        <v>258</v>
      </c>
    </row>
  </sheetData>
  <pageMargins left="0.75" right="0.75" top="1" bottom="1" header="0.5" footer="0.5"/>
  <pageSetup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41F6-8027-B04A-AE54-122367FE2998}">
  <sheetPr codeName="Sheet6">
    <tabColor theme="0" tint="-0.14999847407452621"/>
  </sheetPr>
  <dimension ref="A1:G55"/>
  <sheetViews>
    <sheetView workbookViewId="0">
      <selection activeCell="F79" sqref="F79"/>
    </sheetView>
  </sheetViews>
  <sheetFormatPr baseColWidth="10" defaultColWidth="11.5" defaultRowHeight="13" x14ac:dyDescent="0.15"/>
  <cols>
    <col min="1" max="1" width="22.6640625" customWidth="1"/>
    <col min="2" max="2" width="12" bestFit="1" customWidth="1"/>
    <col min="3" max="3" width="13.1640625" customWidth="1"/>
    <col min="4" max="4" width="14" customWidth="1"/>
    <col min="5" max="5" width="15.5" customWidth="1"/>
    <col min="6" max="6" width="10.1640625" customWidth="1"/>
    <col min="7" max="7" width="14" customWidth="1"/>
    <col min="8" max="8" width="11.1640625" bestFit="1" customWidth="1"/>
  </cols>
  <sheetData>
    <row r="1" spans="1:7" x14ac:dyDescent="0.15">
      <c r="A1" s="1"/>
    </row>
    <row r="2" spans="1:7" x14ac:dyDescent="0.15">
      <c r="A2" s="301" t="s">
        <v>260</v>
      </c>
      <c r="B2" s="41" t="s">
        <v>261</v>
      </c>
      <c r="C2" s="41" t="s">
        <v>40</v>
      </c>
      <c r="D2" s="41" t="s">
        <v>42</v>
      </c>
      <c r="E2" s="299" t="s">
        <v>262</v>
      </c>
      <c r="F2" s="299" t="s">
        <v>304</v>
      </c>
      <c r="G2" s="1" t="s">
        <v>303</v>
      </c>
    </row>
    <row r="3" spans="1:7" x14ac:dyDescent="0.15">
      <c r="A3" s="43" t="s">
        <v>25</v>
      </c>
      <c r="B3" s="417">
        <v>56609.280000000006</v>
      </c>
      <c r="C3" s="420">
        <v>33771.600000000006</v>
      </c>
      <c r="D3" s="420">
        <v>27560</v>
      </c>
      <c r="E3" s="8">
        <f>D3/2080</f>
        <v>13.25</v>
      </c>
    </row>
    <row r="4" spans="1:7" x14ac:dyDescent="0.15">
      <c r="A4" s="62" t="str">
        <f>'VariablesINPUT-FCC'!B20</f>
        <v>Entry</v>
      </c>
      <c r="B4" s="418">
        <v>53028</v>
      </c>
      <c r="C4" s="421">
        <v>38664</v>
      </c>
      <c r="D4" s="422">
        <v>38750.400000000001</v>
      </c>
      <c r="F4" s="14"/>
    </row>
    <row r="5" spans="1:7" x14ac:dyDescent="0.15">
      <c r="A5" s="62" t="str">
        <f>'VariablesINPUT-FCC'!B21</f>
        <v>Level 1</v>
      </c>
      <c r="B5" s="419">
        <v>53028</v>
      </c>
      <c r="C5" s="423">
        <v>48168</v>
      </c>
      <c r="D5" s="433">
        <v>43804.800000000003</v>
      </c>
      <c r="F5" s="14"/>
    </row>
    <row r="6" spans="1:7" x14ac:dyDescent="0.15">
      <c r="A6" s="62" t="str">
        <f>'VariablesINPUT-FCC'!B22</f>
        <v>Level 2</v>
      </c>
      <c r="B6" s="416">
        <v>68904</v>
      </c>
      <c r="C6" s="432">
        <v>62640.000000000007</v>
      </c>
      <c r="D6" s="424">
        <v>56916.000000000007</v>
      </c>
    </row>
    <row r="7" spans="1:7" x14ac:dyDescent="0.15">
      <c r="A7" s="62" t="str">
        <f>'VariablesINPUT-FCC'!B23</f>
        <v>Level 3</v>
      </c>
      <c r="B7" s="431">
        <v>79164</v>
      </c>
      <c r="C7" s="424">
        <v>72036</v>
      </c>
      <c r="D7" s="424">
        <v>65448.000000000007</v>
      </c>
    </row>
    <row r="8" spans="1:7" x14ac:dyDescent="0.15">
      <c r="A8" s="62" t="str">
        <f>'VariablesINPUT-FCC'!B24</f>
        <v>Level 4</v>
      </c>
      <c r="B8" s="417">
        <v>90882</v>
      </c>
      <c r="C8" s="424">
        <v>82620</v>
      </c>
      <c r="D8" s="424">
        <v>65448.000000000007</v>
      </c>
    </row>
    <row r="9" spans="1:7" x14ac:dyDescent="0.15">
      <c r="A9" s="20"/>
      <c r="B9" s="71"/>
      <c r="C9" s="72"/>
    </row>
    <row r="10" spans="1:7" x14ac:dyDescent="0.15">
      <c r="A10" s="20" t="s">
        <v>263</v>
      </c>
      <c r="B10" s="71">
        <f>('VariablesINPUT-FCC'!C$20*B4)+('VariablesINPUT-FCC'!C$21*B5)+('VariablesINPUT-FCC'!C$22*B6)+('VariablesINPUT-FCC'!C$23*B7)+('VariablesINPUT-FCC'!C$24*B8)</f>
        <v>53028</v>
      </c>
      <c r="C10" s="21">
        <f>('VariablesINPUT-FCC'!C$20*C4)+('VariablesINPUT-FCC'!C$21*C5)+('VariablesINPUT-FCC'!C$22*C6)+('VariablesINPUT-FCC'!C$23*C7)+('VariablesINPUT-FCC'!C$24*C8)</f>
        <v>38664</v>
      </c>
      <c r="D10" s="21">
        <f>('VariablesINPUT-FCC'!D$20*D4)+('VariablesINPUT-FCC'!D$21*D5)+('VariablesINPUT-FCC'!D$22*D6)+('VariablesINPUT-FCC'!D$23*D7)+('VariablesINPUT-FCC'!D$24*D8)</f>
        <v>38750.400000000001</v>
      </c>
      <c r="F10" s="425">
        <f>B10</f>
        <v>53028</v>
      </c>
      <c r="G10" s="21">
        <f>C10</f>
        <v>38664</v>
      </c>
    </row>
    <row r="11" spans="1:7" x14ac:dyDescent="0.15">
      <c r="A11" s="3"/>
    </row>
    <row r="12" spans="1:7" hidden="1" x14ac:dyDescent="0.15">
      <c r="A12" s="20"/>
      <c r="B12" s="21"/>
      <c r="C12" s="21"/>
      <c r="D12" s="21"/>
    </row>
    <row r="13" spans="1:7" hidden="1" x14ac:dyDescent="0.15">
      <c r="A13" s="1" t="s">
        <v>6</v>
      </c>
      <c r="B13" s="1"/>
      <c r="C13" s="1"/>
      <c r="D13" s="1"/>
    </row>
    <row r="14" spans="1:7" hidden="1" x14ac:dyDescent="0.15">
      <c r="B14" s="41" t="s">
        <v>261</v>
      </c>
      <c r="C14" s="41" t="s">
        <v>40</v>
      </c>
      <c r="D14" s="41" t="s">
        <v>42</v>
      </c>
    </row>
    <row r="15" spans="1:7" hidden="1" x14ac:dyDescent="0.15">
      <c r="A15" s="62" t="str">
        <f>A4</f>
        <v>Entry</v>
      </c>
      <c r="B15" s="304"/>
      <c r="C15" s="185"/>
      <c r="D15" s="135"/>
    </row>
    <row r="16" spans="1:7" hidden="1" x14ac:dyDescent="0.15">
      <c r="A16" s="62" t="str">
        <f t="shared" ref="A16:A19" si="0">A5</f>
        <v>Level 1</v>
      </c>
      <c r="B16" s="302"/>
      <c r="C16" s="185">
        <f t="shared" ref="C16:C19" si="1">B16*0.8</f>
        <v>0</v>
      </c>
      <c r="D16" s="135"/>
    </row>
    <row r="17" spans="1:6" hidden="1" x14ac:dyDescent="0.15">
      <c r="A17" s="62" t="str">
        <f t="shared" si="0"/>
        <v>Level 2</v>
      </c>
      <c r="B17" s="302"/>
      <c r="C17" s="185">
        <f t="shared" si="1"/>
        <v>0</v>
      </c>
      <c r="D17" s="135"/>
    </row>
    <row r="18" spans="1:6" hidden="1" x14ac:dyDescent="0.15">
      <c r="A18" s="62" t="str">
        <f t="shared" si="0"/>
        <v>Level 3</v>
      </c>
      <c r="B18" s="302"/>
      <c r="C18" s="185">
        <f t="shared" si="1"/>
        <v>0</v>
      </c>
      <c r="D18" s="135"/>
    </row>
    <row r="19" spans="1:6" hidden="1" x14ac:dyDescent="0.15">
      <c r="A19" s="62" t="str">
        <f t="shared" si="0"/>
        <v>Level 4</v>
      </c>
      <c r="B19" s="302"/>
      <c r="C19" s="185">
        <f t="shared" si="1"/>
        <v>0</v>
      </c>
      <c r="D19" s="135"/>
    </row>
    <row r="20" spans="1:6" hidden="1" x14ac:dyDescent="0.15">
      <c r="A20" s="303"/>
      <c r="B20" s="71"/>
      <c r="C20" s="72"/>
    </row>
    <row r="21" spans="1:6" hidden="1" x14ac:dyDescent="0.15">
      <c r="A21" s="20" t="s">
        <v>263</v>
      </c>
      <c r="B21" s="71">
        <f>('VariablesINPUT-FCC'!C$20*B15)+('VariablesINPUT-FCC'!C$21*B16)+('VariablesINPUT-FCC'!C$22*B17)+('VariablesINPUT-FCC'!C$23*B18)+('VariablesINPUT-FCC'!C$24*B19)</f>
        <v>0</v>
      </c>
      <c r="C21" s="21">
        <f>(('VariablesINPUT-FCC'!C$20*C15)+('VariablesINPUT-FCC'!C$21*C16)+('VariablesINPUT-FCC'!C$22*C17)+('VariablesINPUT-FCC'!C$23*C18)+('VariablesINPUT-FCC'!C$24*C19))</f>
        <v>0</v>
      </c>
      <c r="D21" s="21">
        <f>(('VariablesINPUT-FCC'!D$20*D15)+('VariablesINPUT-FCC'!D$21*D16)+('VariablesINPUT-FCC'!D$22*D17)+('VariablesINPUT-FCC'!D$23*D18)+('VariablesINPUT-FCC'!D$24*D19))</f>
        <v>0</v>
      </c>
    </row>
    <row r="22" spans="1:6" hidden="1" x14ac:dyDescent="0.15"/>
    <row r="23" spans="1:6" hidden="1" x14ac:dyDescent="0.15">
      <c r="A23" s="1" t="s">
        <v>7</v>
      </c>
      <c r="B23" s="1"/>
      <c r="C23" s="1"/>
      <c r="D23" s="1"/>
    </row>
    <row r="24" spans="1:6" hidden="1" x14ac:dyDescent="0.15">
      <c r="A24" s="301"/>
      <c r="B24" s="41" t="s">
        <v>261</v>
      </c>
      <c r="C24" s="41" t="s">
        <v>40</v>
      </c>
      <c r="D24" s="41" t="s">
        <v>42</v>
      </c>
    </row>
    <row r="25" spans="1:6" hidden="1" x14ac:dyDescent="0.15">
      <c r="A25" s="62" t="str">
        <f>A15</f>
        <v>Entry</v>
      </c>
      <c r="B25" s="186"/>
      <c r="C25" s="186"/>
      <c r="D25" s="187">
        <v>29120</v>
      </c>
    </row>
    <row r="26" spans="1:6" hidden="1" x14ac:dyDescent="0.15">
      <c r="A26" s="62" t="str">
        <f t="shared" ref="A26:A29" si="2">A16</f>
        <v>Level 1</v>
      </c>
      <c r="B26" s="188">
        <v>37856</v>
      </c>
      <c r="C26" s="188">
        <f>B26</f>
        <v>37856</v>
      </c>
      <c r="D26" s="187">
        <v>33280</v>
      </c>
      <c r="F26" s="326"/>
    </row>
    <row r="27" spans="1:6" hidden="1" x14ac:dyDescent="0.15">
      <c r="A27" s="62" t="str">
        <f t="shared" si="2"/>
        <v>Level 2</v>
      </c>
      <c r="B27" s="186">
        <v>45201.599999999999</v>
      </c>
      <c r="C27" s="188">
        <f>B27</f>
        <v>45201.599999999999</v>
      </c>
      <c r="D27" s="187">
        <v>39514.36</v>
      </c>
    </row>
    <row r="28" spans="1:6" hidden="1" x14ac:dyDescent="0.15">
      <c r="A28" s="62" t="str">
        <f t="shared" si="2"/>
        <v>Level 3</v>
      </c>
      <c r="B28" s="186">
        <v>51136.800000000003</v>
      </c>
      <c r="C28" s="188">
        <f>B28</f>
        <v>51136.800000000003</v>
      </c>
      <c r="D28" s="187">
        <v>44815.51</v>
      </c>
    </row>
    <row r="29" spans="1:6" hidden="1" x14ac:dyDescent="0.15">
      <c r="A29" s="62" t="str">
        <f t="shared" si="2"/>
        <v>Level 4</v>
      </c>
      <c r="B29" s="185"/>
      <c r="C29" s="185"/>
      <c r="D29" s="135"/>
    </row>
    <row r="30" spans="1:6" hidden="1" x14ac:dyDescent="0.15">
      <c r="A30" s="303"/>
      <c r="B30" s="71"/>
      <c r="C30" s="72"/>
    </row>
    <row r="31" spans="1:6" hidden="1" x14ac:dyDescent="0.15">
      <c r="A31" s="20" t="s">
        <v>263</v>
      </c>
      <c r="B31" s="71">
        <f>('VariablesINPUT-FCC'!C$20*B25)+('VariablesINPUT-FCC'!C$21*B26)+('VariablesINPUT-FCC'!C$22*B27)+('VariablesINPUT-FCC'!C$23*B28)+('VariablesINPUT-FCC'!C$24*B29)</f>
        <v>0</v>
      </c>
      <c r="C31" s="21">
        <f>(('VariablesINPUT-FCC'!C$20*C25)+('VariablesINPUT-FCC'!C$21*C26)+('VariablesINPUT-FCC'!C$22*C27)+('VariablesINPUT-FCC'!C$23*C28)+('VariablesINPUT-FCC'!C$24*C29))</f>
        <v>0</v>
      </c>
      <c r="D31" s="21">
        <f>(('VariablesINPUT-FCC'!D$20*D25)+('VariablesINPUT-FCC'!D$21*D26)+('VariablesINPUT-FCC'!D$22*D27)+('VariablesINPUT-FCC'!D$23*D28)+('VariablesINPUT-FCC'!D$24*D29))</f>
        <v>29120</v>
      </c>
    </row>
    <row r="32" spans="1:6" hidden="1" x14ac:dyDescent="0.15">
      <c r="A32" s="20"/>
      <c r="B32" s="20"/>
      <c r="C32" s="20"/>
      <c r="D32" s="20"/>
    </row>
    <row r="33" spans="1:4" hidden="1" x14ac:dyDescent="0.15">
      <c r="A33" s="1" t="s">
        <v>8</v>
      </c>
      <c r="B33" s="1"/>
      <c r="C33" s="1"/>
      <c r="D33" s="1"/>
    </row>
    <row r="34" spans="1:4" hidden="1" x14ac:dyDescent="0.15">
      <c r="A34" s="305"/>
      <c r="B34" s="41" t="s">
        <v>261</v>
      </c>
      <c r="C34" s="41" t="s">
        <v>40</v>
      </c>
      <c r="D34" s="41" t="s">
        <v>42</v>
      </c>
    </row>
    <row r="35" spans="1:4" hidden="1" x14ac:dyDescent="0.15">
      <c r="A35" s="62" t="str">
        <f>A25</f>
        <v>Entry</v>
      </c>
      <c r="B35" s="186"/>
      <c r="C35" s="186"/>
      <c r="D35" s="187">
        <v>41600</v>
      </c>
    </row>
    <row r="36" spans="1:4" hidden="1" x14ac:dyDescent="0.15">
      <c r="A36" s="62" t="str">
        <f t="shared" ref="A36:A39" si="3">A26</f>
        <v>Level 1</v>
      </c>
      <c r="B36" s="188">
        <v>45599.199999999997</v>
      </c>
      <c r="C36" s="188">
        <f>B36</f>
        <v>45599.199999999997</v>
      </c>
      <c r="D36" s="187">
        <v>45021.599999999999</v>
      </c>
    </row>
    <row r="37" spans="1:4" hidden="1" x14ac:dyDescent="0.15">
      <c r="A37" s="62" t="str">
        <f t="shared" si="3"/>
        <v>Level 2</v>
      </c>
      <c r="B37" s="186">
        <v>62379.199999999997</v>
      </c>
      <c r="C37" s="188">
        <f>B37</f>
        <v>62379.199999999997</v>
      </c>
      <c r="D37" s="187">
        <v>53126.71</v>
      </c>
    </row>
    <row r="38" spans="1:4" hidden="1" x14ac:dyDescent="0.15">
      <c r="A38" s="62" t="str">
        <f t="shared" si="3"/>
        <v>Level 3</v>
      </c>
      <c r="B38" s="186">
        <v>72072</v>
      </c>
      <c r="C38" s="188">
        <f>B38</f>
        <v>72072</v>
      </c>
      <c r="D38" s="187">
        <v>57291.27</v>
      </c>
    </row>
    <row r="39" spans="1:4" hidden="1" x14ac:dyDescent="0.15">
      <c r="A39" s="62" t="str">
        <f t="shared" si="3"/>
        <v>Level 4</v>
      </c>
      <c r="B39" s="306"/>
      <c r="C39" s="188">
        <f>B39</f>
        <v>0</v>
      </c>
      <c r="D39" s="187"/>
    </row>
    <row r="40" spans="1:4" hidden="1" x14ac:dyDescent="0.15">
      <c r="A40" s="303"/>
      <c r="B40" s="71"/>
      <c r="C40" s="72"/>
    </row>
    <row r="41" spans="1:4" hidden="1" x14ac:dyDescent="0.15">
      <c r="A41" s="20" t="s">
        <v>263</v>
      </c>
      <c r="B41" s="71">
        <f>('VariablesINPUT-FCC'!C$20*B35)+('VariablesINPUT-FCC'!C$21*B36)+('VariablesINPUT-FCC'!C$22*B37)+('VariablesINPUT-FCC'!C$23*B38)+('VariablesINPUT-FCC'!C$24*B39)</f>
        <v>0</v>
      </c>
      <c r="C41" s="21">
        <f>(('VariablesINPUT-FCC'!C$20*C35)+('VariablesINPUT-FCC'!C$21*C36)+('VariablesINPUT-FCC'!C$22*C37)+('VariablesINPUT-FCC'!C$23*C38)+('VariablesINPUT-FCC'!C$24*C39))</f>
        <v>0</v>
      </c>
      <c r="D41" s="21">
        <f>(('VariablesINPUT-FCC'!D$20*D35)+('VariablesINPUT-FCC'!D$21*D36)+('VariablesINPUT-FCC'!D$22*D37)+('VariablesINPUT-FCC'!D$23*D38)+('VariablesINPUT-FCC'!D$24*D39))</f>
        <v>41600</v>
      </c>
    </row>
    <row r="42" spans="1:4" hidden="1" x14ac:dyDescent="0.15"/>
    <row r="43" spans="1:4" hidden="1" x14ac:dyDescent="0.15">
      <c r="A43" s="1" t="s">
        <v>9</v>
      </c>
      <c r="B43" s="1"/>
      <c r="C43" s="1"/>
      <c r="D43" s="1"/>
    </row>
    <row r="44" spans="1:4" hidden="1" x14ac:dyDescent="0.15">
      <c r="A44" s="305"/>
      <c r="B44" s="41" t="s">
        <v>261</v>
      </c>
      <c r="C44" s="41" t="s">
        <v>40</v>
      </c>
      <c r="D44" s="41" t="s">
        <v>42</v>
      </c>
    </row>
    <row r="45" spans="1:4" hidden="1" x14ac:dyDescent="0.15">
      <c r="A45" s="62" t="str">
        <f>A35</f>
        <v>Entry</v>
      </c>
      <c r="B45" s="186"/>
      <c r="C45" s="186"/>
      <c r="D45" s="187">
        <v>41600</v>
      </c>
    </row>
    <row r="46" spans="1:4" hidden="1" x14ac:dyDescent="0.15">
      <c r="A46" s="62" t="str">
        <f t="shared" ref="A46:A49" si="4">A36</f>
        <v>Level 1</v>
      </c>
      <c r="B46" s="188">
        <v>45599.199999999997</v>
      </c>
      <c r="C46" s="188">
        <f>B46</f>
        <v>45599.199999999997</v>
      </c>
      <c r="D46" s="187">
        <v>45021.599999999999</v>
      </c>
    </row>
    <row r="47" spans="1:4" hidden="1" x14ac:dyDescent="0.15">
      <c r="A47" s="62" t="str">
        <f t="shared" si="4"/>
        <v>Level 2</v>
      </c>
      <c r="B47" s="186">
        <v>62379.199999999997</v>
      </c>
      <c r="C47" s="188">
        <f>B47</f>
        <v>62379.199999999997</v>
      </c>
      <c r="D47" s="187">
        <v>53126.71</v>
      </c>
    </row>
    <row r="48" spans="1:4" hidden="1" x14ac:dyDescent="0.15">
      <c r="A48" s="62" t="str">
        <f t="shared" si="4"/>
        <v>Level 3</v>
      </c>
      <c r="B48" s="186">
        <v>72072</v>
      </c>
      <c r="C48" s="188">
        <f>B48</f>
        <v>72072</v>
      </c>
      <c r="D48" s="187">
        <v>57291.27</v>
      </c>
    </row>
    <row r="49" spans="1:4" hidden="1" x14ac:dyDescent="0.15">
      <c r="A49" s="62" t="str">
        <f t="shared" si="4"/>
        <v>Level 4</v>
      </c>
      <c r="B49" s="306"/>
      <c r="C49" s="188">
        <f>B49</f>
        <v>0</v>
      </c>
      <c r="D49" s="187"/>
    </row>
    <row r="50" spans="1:4" hidden="1" x14ac:dyDescent="0.15">
      <c r="A50" s="303"/>
      <c r="B50" s="71"/>
      <c r="C50" s="72"/>
    </row>
    <row r="51" spans="1:4" hidden="1" x14ac:dyDescent="0.15">
      <c r="A51" s="20" t="s">
        <v>263</v>
      </c>
      <c r="B51" s="71">
        <f>('VariablesINPUT-FCC'!C$20*B45)+('VariablesINPUT-FCC'!C$21*B46)+('VariablesINPUT-FCC'!C$22*B47)+('VariablesINPUT-FCC'!C$23*B48)+('VariablesINPUT-FCC'!C$24*B49)</f>
        <v>0</v>
      </c>
      <c r="C51" s="21">
        <f>(('VariablesINPUT-FCC'!C$20*C45)+('VariablesINPUT-FCC'!C$21*C46)+('VariablesINPUT-FCC'!C$22*C47)+('VariablesINPUT-FCC'!C$23*C48)+('VariablesINPUT-FCC'!C$24*C49))</f>
        <v>0</v>
      </c>
      <c r="D51" s="21">
        <f>(('VariablesINPUT-FCC'!D$20*D45)+('VariablesINPUT-FCC'!D$21*D46)+('VariablesINPUT-FCC'!D$22*D47)+('VariablesINPUT-FCC'!D$23*D48)+('VariablesINPUT-FCC'!D$24*D49))</f>
        <v>41600</v>
      </c>
    </row>
    <row r="52" spans="1:4" hidden="1" x14ac:dyDescent="0.15"/>
    <row r="53" spans="1:4" hidden="1" x14ac:dyDescent="0.15"/>
    <row r="54" spans="1:4" x14ac:dyDescent="0.15">
      <c r="B54" s="21">
        <f>B10/2080</f>
        <v>25.494230769230768</v>
      </c>
      <c r="C54" s="21">
        <f>C10/2080</f>
        <v>18.588461538461537</v>
      </c>
      <c r="D54" s="21">
        <f>D10/2080</f>
        <v>18.63</v>
      </c>
    </row>
    <row r="55" spans="1:4" x14ac:dyDescent="0.15">
      <c r="B55" s="21">
        <f>B7/2080</f>
        <v>38.059615384615384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1D05-AC5F-4748-9C6A-505C6B8C3600}">
  <sheetPr codeName="Sheet7">
    <tabColor theme="5"/>
  </sheetPr>
  <dimension ref="A1:G11"/>
  <sheetViews>
    <sheetView workbookViewId="0">
      <selection activeCell="F79" sqref="F79"/>
    </sheetView>
  </sheetViews>
  <sheetFormatPr baseColWidth="10" defaultColWidth="11.5" defaultRowHeight="13" x14ac:dyDescent="0.15"/>
  <cols>
    <col min="1" max="3" width="12.5" customWidth="1"/>
  </cols>
  <sheetData>
    <row r="1" spans="1:7" x14ac:dyDescent="0.15">
      <c r="A1" s="43"/>
      <c r="B1" s="329" t="s">
        <v>264</v>
      </c>
      <c r="C1" s="330"/>
      <c r="D1" s="331"/>
      <c r="E1" s="332"/>
    </row>
    <row r="2" spans="1:7" x14ac:dyDescent="0.15">
      <c r="A2" s="43"/>
      <c r="B2" s="333" t="s">
        <v>265</v>
      </c>
      <c r="C2" s="334" t="s">
        <v>266</v>
      </c>
      <c r="D2" s="333" t="s">
        <v>77</v>
      </c>
      <c r="E2" s="334" t="s">
        <v>266</v>
      </c>
      <c r="F2" s="434" t="s">
        <v>76</v>
      </c>
      <c r="G2" s="434" t="s">
        <v>306</v>
      </c>
    </row>
    <row r="3" spans="1:7" x14ac:dyDescent="0.15">
      <c r="A3" s="335" t="s">
        <v>267</v>
      </c>
      <c r="B3" s="435">
        <v>44.5</v>
      </c>
      <c r="C3" s="436">
        <v>46.73</v>
      </c>
      <c r="D3" s="435">
        <f>B3*5*52/12</f>
        <v>964.16666666666663</v>
      </c>
      <c r="E3" s="435">
        <f>C3*5*52/12</f>
        <v>1012.4833333333332</v>
      </c>
      <c r="F3" s="426">
        <f t="shared" ref="F3:G6" si="0">D3*12</f>
        <v>11570</v>
      </c>
      <c r="G3" s="426">
        <f t="shared" si="0"/>
        <v>12149.8</v>
      </c>
    </row>
    <row r="4" spans="1:7" x14ac:dyDescent="0.15">
      <c r="A4" s="339" t="s">
        <v>268</v>
      </c>
      <c r="B4" s="435">
        <v>40</v>
      </c>
      <c r="C4" s="436">
        <v>43.25</v>
      </c>
      <c r="D4" s="435">
        <f t="shared" ref="D4:E6" si="1">B4*5*52/12</f>
        <v>866.66666666666663</v>
      </c>
      <c r="E4" s="435">
        <f t="shared" si="1"/>
        <v>937.08333333333337</v>
      </c>
      <c r="F4" s="426">
        <f t="shared" si="0"/>
        <v>10400</v>
      </c>
      <c r="G4" s="426">
        <f t="shared" si="0"/>
        <v>11245</v>
      </c>
    </row>
    <row r="5" spans="1:7" x14ac:dyDescent="0.15">
      <c r="A5" s="339" t="s">
        <v>269</v>
      </c>
      <c r="B5" s="435">
        <v>40</v>
      </c>
      <c r="C5" s="436">
        <v>43.25</v>
      </c>
      <c r="D5" s="435">
        <f t="shared" si="1"/>
        <v>866.66666666666663</v>
      </c>
      <c r="E5" s="435">
        <f t="shared" si="1"/>
        <v>937.08333333333337</v>
      </c>
      <c r="F5" s="426">
        <f t="shared" si="0"/>
        <v>10400</v>
      </c>
      <c r="G5" s="426">
        <f t="shared" si="0"/>
        <v>11245</v>
      </c>
    </row>
    <row r="6" spans="1:7" x14ac:dyDescent="0.15">
      <c r="A6" s="339" t="s">
        <v>3</v>
      </c>
      <c r="B6" s="435">
        <v>32</v>
      </c>
      <c r="C6" s="436">
        <v>33.6</v>
      </c>
      <c r="D6" s="435">
        <f t="shared" si="1"/>
        <v>693.33333333333337</v>
      </c>
      <c r="E6" s="435">
        <f t="shared" si="1"/>
        <v>728</v>
      </c>
      <c r="F6" s="426">
        <f t="shared" si="0"/>
        <v>8320</v>
      </c>
      <c r="G6" s="426">
        <f t="shared" si="0"/>
        <v>8736</v>
      </c>
    </row>
    <row r="7" spans="1:7" x14ac:dyDescent="0.15">
      <c r="A7" s="43"/>
      <c r="B7" s="43"/>
      <c r="C7" s="43"/>
      <c r="D7" s="43"/>
      <c r="E7" s="43"/>
    </row>
    <row r="8" spans="1:7" x14ac:dyDescent="0.15">
      <c r="A8" s="43"/>
      <c r="B8" s="43"/>
      <c r="C8" s="43"/>
      <c r="D8" s="43"/>
      <c r="E8" s="43"/>
    </row>
    <row r="10" spans="1:7" x14ac:dyDescent="0.15">
      <c r="A10" s="10" t="s">
        <v>273</v>
      </c>
    </row>
    <row r="11" spans="1:7" x14ac:dyDescent="0.15">
      <c r="A11" s="43" t="s">
        <v>305</v>
      </c>
    </row>
  </sheetData>
  <hyperlinks>
    <hyperlink ref="A10" r:id="rId1" xr:uid="{82805DE9-75BE-AF4B-AD4A-33730BC711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21821-06F8-8244-9E5B-A1101AAC2320}">
  <sheetPr codeName="Sheet8">
    <tabColor theme="5"/>
  </sheetPr>
  <dimension ref="A1:F34"/>
  <sheetViews>
    <sheetView workbookViewId="0">
      <selection activeCell="F79" sqref="F79"/>
    </sheetView>
  </sheetViews>
  <sheetFormatPr baseColWidth="10" defaultColWidth="11.5" defaultRowHeight="13" x14ac:dyDescent="0.15"/>
  <sheetData>
    <row r="1" spans="1:6" x14ac:dyDescent="0.15">
      <c r="A1" s="43" t="s">
        <v>4</v>
      </c>
      <c r="B1" s="329" t="s">
        <v>264</v>
      </c>
      <c r="C1" s="330"/>
      <c r="D1" s="331"/>
      <c r="E1" s="332"/>
      <c r="F1" s="14"/>
    </row>
    <row r="2" spans="1:6" x14ac:dyDescent="0.15">
      <c r="A2" s="43"/>
      <c r="B2" s="333" t="s">
        <v>265</v>
      </c>
      <c r="C2" s="334" t="s">
        <v>266</v>
      </c>
      <c r="D2" s="333" t="s">
        <v>77</v>
      </c>
      <c r="E2" s="334" t="s">
        <v>266</v>
      </c>
      <c r="F2" s="10"/>
    </row>
    <row r="3" spans="1:6" x14ac:dyDescent="0.15">
      <c r="A3" s="335" t="s">
        <v>267</v>
      </c>
      <c r="B3" s="336">
        <v>50</v>
      </c>
      <c r="C3" s="337"/>
      <c r="D3" s="338">
        <f>B3*5*52/12</f>
        <v>1083.3333333333333</v>
      </c>
      <c r="E3" s="338">
        <f>C3*5*52/12</f>
        <v>0</v>
      </c>
    </row>
    <row r="4" spans="1:6" x14ac:dyDescent="0.15">
      <c r="A4" s="339" t="s">
        <v>268</v>
      </c>
      <c r="B4" s="336">
        <v>50</v>
      </c>
      <c r="C4" s="337"/>
      <c r="D4" s="338">
        <f t="shared" ref="D4:E6" si="0">B4*5*52/12</f>
        <v>1083.3333333333333</v>
      </c>
      <c r="E4" s="338">
        <f t="shared" si="0"/>
        <v>0</v>
      </c>
    </row>
    <row r="5" spans="1:6" x14ac:dyDescent="0.15">
      <c r="A5" s="339" t="s">
        <v>269</v>
      </c>
      <c r="B5" s="336">
        <v>47</v>
      </c>
      <c r="C5" s="337"/>
      <c r="D5" s="338">
        <f t="shared" si="0"/>
        <v>1018.3333333333334</v>
      </c>
      <c r="E5" s="338">
        <f t="shared" si="0"/>
        <v>0</v>
      </c>
      <c r="F5" s="14"/>
    </row>
    <row r="6" spans="1:6" x14ac:dyDescent="0.15">
      <c r="A6" s="339" t="s">
        <v>274</v>
      </c>
      <c r="B6" s="336">
        <v>24</v>
      </c>
      <c r="C6" s="337"/>
      <c r="D6" s="338">
        <f t="shared" si="0"/>
        <v>520</v>
      </c>
      <c r="E6" s="338">
        <f t="shared" si="0"/>
        <v>0</v>
      </c>
      <c r="F6" s="14"/>
    </row>
    <row r="7" spans="1:6" x14ac:dyDescent="0.15">
      <c r="A7" s="43"/>
      <c r="B7" s="43"/>
      <c r="C7" s="43"/>
      <c r="D7" s="43"/>
      <c r="E7" s="43"/>
    </row>
    <row r="8" spans="1:6" x14ac:dyDescent="0.15">
      <c r="A8" s="43"/>
      <c r="B8" s="43"/>
      <c r="C8" s="43"/>
      <c r="D8" s="43"/>
      <c r="E8" s="43"/>
    </row>
    <row r="9" spans="1:6" x14ac:dyDescent="0.15">
      <c r="A9" s="43" t="s">
        <v>81</v>
      </c>
      <c r="B9" s="329" t="s">
        <v>264</v>
      </c>
      <c r="C9" s="330"/>
      <c r="D9" s="331"/>
      <c r="E9" s="332"/>
    </row>
    <row r="10" spans="1:6" x14ac:dyDescent="0.15">
      <c r="A10" s="43"/>
      <c r="B10" s="333" t="s">
        <v>265</v>
      </c>
      <c r="C10" s="334" t="s">
        <v>266</v>
      </c>
      <c r="D10" s="333" t="s">
        <v>77</v>
      </c>
      <c r="E10" s="334" t="s">
        <v>266</v>
      </c>
    </row>
    <row r="11" spans="1:6" x14ac:dyDescent="0.15">
      <c r="A11" s="335" t="s">
        <v>270</v>
      </c>
      <c r="B11" s="336">
        <v>50</v>
      </c>
      <c r="C11" s="337"/>
      <c r="D11" s="338">
        <f>B11*5*52/12</f>
        <v>1083.3333333333333</v>
      </c>
      <c r="E11" s="338">
        <f>C11*5*52/12</f>
        <v>0</v>
      </c>
    </row>
    <row r="12" spans="1:6" x14ac:dyDescent="0.15">
      <c r="A12" s="339" t="s">
        <v>271</v>
      </c>
      <c r="B12" s="336">
        <v>45</v>
      </c>
      <c r="C12" s="337"/>
      <c r="D12" s="338">
        <f t="shared" ref="D12:E14" si="1">B12*5*52/12</f>
        <v>975</v>
      </c>
      <c r="E12" s="338">
        <f t="shared" si="1"/>
        <v>0</v>
      </c>
    </row>
    <row r="13" spans="1:6" x14ac:dyDescent="0.15">
      <c r="A13" s="339" t="s">
        <v>272</v>
      </c>
      <c r="B13" s="336">
        <v>30</v>
      </c>
      <c r="C13" s="337"/>
      <c r="D13" s="338">
        <f t="shared" si="1"/>
        <v>650</v>
      </c>
      <c r="E13" s="338">
        <f t="shared" si="1"/>
        <v>0</v>
      </c>
    </row>
    <row r="14" spans="1:6" x14ac:dyDescent="0.15">
      <c r="A14" s="339" t="s">
        <v>274</v>
      </c>
      <c r="B14" s="336">
        <v>20</v>
      </c>
      <c r="C14" s="337"/>
      <c r="D14" s="338">
        <f t="shared" si="1"/>
        <v>433.33333333333331</v>
      </c>
      <c r="E14" s="338">
        <f t="shared" si="1"/>
        <v>0</v>
      </c>
    </row>
    <row r="15" spans="1:6" x14ac:dyDescent="0.15">
      <c r="A15" s="43"/>
      <c r="B15" s="43"/>
      <c r="C15" s="43"/>
      <c r="D15" s="43"/>
      <c r="E15" s="43"/>
    </row>
    <row r="16" spans="1:6" x14ac:dyDescent="0.15">
      <c r="A16" s="43"/>
      <c r="B16" s="43"/>
      <c r="C16" s="43"/>
      <c r="D16" s="43"/>
      <c r="E16" s="43"/>
    </row>
    <row r="17" spans="1:5" x14ac:dyDescent="0.15">
      <c r="A17" s="43" t="s">
        <v>82</v>
      </c>
      <c r="B17" s="329" t="s">
        <v>264</v>
      </c>
      <c r="C17" s="330"/>
      <c r="D17" s="331"/>
      <c r="E17" s="332"/>
    </row>
    <row r="18" spans="1:5" x14ac:dyDescent="0.15">
      <c r="A18" s="43"/>
      <c r="B18" s="333" t="s">
        <v>265</v>
      </c>
      <c r="C18" s="334" t="s">
        <v>266</v>
      </c>
      <c r="D18" s="333" t="s">
        <v>77</v>
      </c>
      <c r="E18" s="334" t="s">
        <v>266</v>
      </c>
    </row>
    <row r="19" spans="1:5" x14ac:dyDescent="0.15">
      <c r="A19" s="335" t="s">
        <v>270</v>
      </c>
      <c r="B19" s="336">
        <v>50</v>
      </c>
      <c r="C19" s="337"/>
      <c r="D19" s="338">
        <f>B19*5*52/12</f>
        <v>1083.3333333333333</v>
      </c>
      <c r="E19" s="338">
        <f>C19*5*52/12</f>
        <v>0</v>
      </c>
    </row>
    <row r="20" spans="1:5" x14ac:dyDescent="0.15">
      <c r="A20" s="339" t="s">
        <v>271</v>
      </c>
      <c r="B20" s="336">
        <v>45</v>
      </c>
      <c r="C20" s="337"/>
      <c r="D20" s="338">
        <f t="shared" ref="D20:E22" si="2">B20*5*52/12</f>
        <v>975</v>
      </c>
      <c r="E20" s="338">
        <f t="shared" si="2"/>
        <v>0</v>
      </c>
    </row>
    <row r="21" spans="1:5" x14ac:dyDescent="0.15">
      <c r="A21" s="339" t="s">
        <v>272</v>
      </c>
      <c r="B21" s="336">
        <v>40</v>
      </c>
      <c r="C21" s="337"/>
      <c r="D21" s="338">
        <f t="shared" si="2"/>
        <v>866.66666666666663</v>
      </c>
      <c r="E21" s="338">
        <f t="shared" si="2"/>
        <v>0</v>
      </c>
    </row>
    <row r="22" spans="1:5" x14ac:dyDescent="0.15">
      <c r="A22" s="339" t="s">
        <v>274</v>
      </c>
      <c r="B22" s="336">
        <v>20</v>
      </c>
      <c r="C22" s="337"/>
      <c r="D22" s="338">
        <f t="shared" si="2"/>
        <v>433.33333333333331</v>
      </c>
      <c r="E22" s="338">
        <f t="shared" si="2"/>
        <v>0</v>
      </c>
    </row>
    <row r="23" spans="1:5" x14ac:dyDescent="0.15">
      <c r="A23" s="43"/>
      <c r="B23" s="43"/>
      <c r="C23" s="43"/>
      <c r="D23" s="43"/>
      <c r="E23" s="43"/>
    </row>
    <row r="25" spans="1:5" x14ac:dyDescent="0.15">
      <c r="A25" s="43" t="s">
        <v>275</v>
      </c>
    </row>
    <row r="26" spans="1:5" x14ac:dyDescent="0.15">
      <c r="B26" s="75"/>
      <c r="C26" s="80"/>
      <c r="D26" s="80"/>
      <c r="E26" s="76"/>
    </row>
    <row r="27" spans="1:5" x14ac:dyDescent="0.15">
      <c r="A27" s="77"/>
      <c r="B27" s="22"/>
      <c r="E27" s="69"/>
    </row>
    <row r="28" spans="1:5" x14ac:dyDescent="0.15">
      <c r="A28" s="78"/>
      <c r="B28" s="22"/>
      <c r="E28" s="69"/>
    </row>
    <row r="29" spans="1:5" x14ac:dyDescent="0.15">
      <c r="A29" s="78"/>
      <c r="B29" s="22"/>
      <c r="E29" s="69"/>
    </row>
    <row r="30" spans="1:5" x14ac:dyDescent="0.15">
      <c r="A30" s="79"/>
      <c r="B30" s="74"/>
      <c r="C30" s="59"/>
      <c r="D30" s="70"/>
      <c r="E30" s="70"/>
    </row>
    <row r="31" spans="1:5" x14ac:dyDescent="0.15">
      <c r="A31" s="281"/>
      <c r="B31" s="22"/>
      <c r="E31" s="69"/>
    </row>
    <row r="32" spans="1:5" x14ac:dyDescent="0.15">
      <c r="A32" s="10"/>
    </row>
    <row r="33" spans="1:2" x14ac:dyDescent="0.15">
      <c r="A33" s="427" t="s">
        <v>276</v>
      </c>
      <c r="B33" s="428"/>
    </row>
    <row r="34" spans="1:2" x14ac:dyDescent="0.15">
      <c r="A34" s="10" t="s">
        <v>277</v>
      </c>
    </row>
  </sheetData>
  <hyperlinks>
    <hyperlink ref="A34" r:id="rId1" xr:uid="{C88D7BBB-B1C5-3D43-9313-B078A8CA5D5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7D33-A6BF-BE41-987E-1D38E46FE635}">
  <sheetPr codeName="Sheet12">
    <tabColor theme="5" tint="0.39997558519241921"/>
  </sheetPr>
  <dimension ref="A1:Q20"/>
  <sheetViews>
    <sheetView topLeftCell="A3" workbookViewId="0">
      <selection activeCell="F79" sqref="F79"/>
    </sheetView>
  </sheetViews>
  <sheetFormatPr baseColWidth="10" defaultColWidth="8.83203125" defaultRowHeight="13" x14ac:dyDescent="0.15"/>
  <cols>
    <col min="1" max="1" width="13.83203125" style="145" customWidth="1"/>
    <col min="2" max="2" width="8.83203125" style="145"/>
    <col min="3" max="3" width="8.83203125" style="145" customWidth="1"/>
    <col min="4" max="16384" width="8.83203125" style="145"/>
  </cols>
  <sheetData>
    <row r="1" spans="1:17" x14ac:dyDescent="0.15">
      <c r="A1" s="145" t="s">
        <v>278</v>
      </c>
      <c r="L1" s="146" t="s">
        <v>279</v>
      </c>
    </row>
    <row r="2" spans="1:17" x14ac:dyDescent="0.15">
      <c r="A2" s="145" t="s">
        <v>280</v>
      </c>
    </row>
    <row r="3" spans="1:17" ht="25.75" customHeight="1" x14ac:dyDescent="0.15">
      <c r="A3" s="145" t="s">
        <v>281</v>
      </c>
    </row>
    <row r="4" spans="1:17" x14ac:dyDescent="0.15">
      <c r="A4" s="145" t="s">
        <v>282</v>
      </c>
      <c r="H4" s="147"/>
      <c r="I4" s="148" t="s">
        <v>283</v>
      </c>
      <c r="Q4" s="10" t="s">
        <v>284</v>
      </c>
    </row>
    <row r="6" spans="1:17" x14ac:dyDescent="0.15">
      <c r="B6" s="154" t="s">
        <v>285</v>
      </c>
      <c r="H6" s="148" t="s">
        <v>286</v>
      </c>
    </row>
    <row r="7" spans="1:17" ht="28" x14ac:dyDescent="0.15">
      <c r="D7" s="150" t="s">
        <v>287</v>
      </c>
      <c r="E7" s="151" t="s">
        <v>288</v>
      </c>
      <c r="F7" s="150" t="s">
        <v>289</v>
      </c>
      <c r="H7" s="149" t="s">
        <v>290</v>
      </c>
      <c r="J7" s="145" t="s">
        <v>291</v>
      </c>
    </row>
    <row r="8" spans="1:17" x14ac:dyDescent="0.15">
      <c r="A8" s="145" t="s">
        <v>292</v>
      </c>
      <c r="B8" s="145" t="s">
        <v>293</v>
      </c>
      <c r="D8" s="18">
        <v>1.66</v>
      </c>
      <c r="E8" s="18">
        <v>3.15</v>
      </c>
      <c r="F8" s="18">
        <v>0.93</v>
      </c>
      <c r="H8" s="152">
        <f>SUM(D8,E8,2*F8)</f>
        <v>6.67</v>
      </c>
      <c r="J8" s="153">
        <f>5*H8</f>
        <v>33.35</v>
      </c>
    </row>
    <row r="9" spans="1:17" x14ac:dyDescent="0.15">
      <c r="B9" s="145" t="s">
        <v>294</v>
      </c>
      <c r="D9" s="18">
        <v>0.6</v>
      </c>
      <c r="E9" s="18">
        <v>1.9</v>
      </c>
      <c r="F9" s="18">
        <v>0.26</v>
      </c>
      <c r="H9" s="152">
        <f>SUM(D9,E9,2*F9)</f>
        <v>3.02</v>
      </c>
      <c r="J9" s="153">
        <f>5*H9</f>
        <v>15.1</v>
      </c>
    </row>
    <row r="11" spans="1:17" x14ac:dyDescent="0.15">
      <c r="A11" s="145" t="s">
        <v>295</v>
      </c>
    </row>
    <row r="12" spans="1:17" x14ac:dyDescent="0.15">
      <c r="A12" s="10" t="s">
        <v>296</v>
      </c>
      <c r="H12" s="145" t="s">
        <v>297</v>
      </c>
    </row>
    <row r="13" spans="1:17" x14ac:dyDescent="0.15">
      <c r="A13" s="10"/>
      <c r="G13" s="145" t="s">
        <v>298</v>
      </c>
    </row>
    <row r="15" spans="1:17" x14ac:dyDescent="0.15">
      <c r="B15" s="145" t="s">
        <v>299</v>
      </c>
    </row>
    <row r="16" spans="1:17" ht="50.75" customHeight="1" x14ac:dyDescent="0.15">
      <c r="B16" s="499" t="s">
        <v>300</v>
      </c>
      <c r="C16" s="499"/>
      <c r="D16" s="499"/>
      <c r="E16" s="499"/>
      <c r="F16" s="499"/>
      <c r="G16" s="499"/>
      <c r="H16" s="499"/>
      <c r="I16" s="499"/>
      <c r="J16" s="499"/>
      <c r="K16" s="499"/>
    </row>
    <row r="17" spans="2:11" x14ac:dyDescent="0.15">
      <c r="B17" s="149"/>
    </row>
    <row r="18" spans="2:11" ht="51.25" customHeight="1" x14ac:dyDescent="0.15">
      <c r="B18" s="499" t="s">
        <v>301</v>
      </c>
      <c r="C18" s="499"/>
      <c r="D18" s="499"/>
      <c r="E18" s="499"/>
      <c r="F18" s="499"/>
      <c r="G18" s="499"/>
      <c r="H18" s="499"/>
      <c r="I18" s="499"/>
      <c r="J18" s="499"/>
      <c r="K18" s="499"/>
    </row>
    <row r="19" spans="2:11" x14ac:dyDescent="0.15">
      <c r="B19" s="149"/>
    </row>
    <row r="20" spans="2:11" ht="35.5" customHeight="1" x14ac:dyDescent="0.15">
      <c r="B20" s="499" t="s">
        <v>302</v>
      </c>
      <c r="C20" s="499"/>
      <c r="D20" s="499"/>
      <c r="E20" s="499"/>
      <c r="F20" s="499"/>
      <c r="G20" s="499"/>
      <c r="H20" s="499"/>
      <c r="I20" s="499"/>
      <c r="J20" s="499"/>
      <c r="K20" s="499"/>
    </row>
  </sheetData>
  <mergeCells count="3">
    <mergeCell ref="B16:K16"/>
    <mergeCell ref="B18:K18"/>
    <mergeCell ref="B20:K20"/>
  </mergeCells>
  <hyperlinks>
    <hyperlink ref="A12" r:id="rId1" xr:uid="{6BF80430-DF92-F24B-BE7B-7A9287E683EC}"/>
  </hyperlinks>
  <pageMargins left="0.75" right="0.75" top="1" bottom="1" header="0.5" footer="0.5"/>
  <pageSetup orientation="portrait" horizontalDpi="4294967293"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e25aaf-7277-47a3-ac6f-8bf087b3d215" xsi:nil="true"/>
    <lcf76f155ced4ddcb4097134ff3c332f xmlns="db02e63f-c57a-4094-ac27-81bb96728ce4">
      <Terms xmlns="http://schemas.microsoft.com/office/infopath/2007/PartnerControls"/>
    </lcf76f155ced4ddcb4097134ff3c332f>
    <SharedWithUsers xmlns="10e25aaf-7277-47a3-ac6f-8bf087b3d215">
      <UserInfo>
        <DisplayName>Jeanna Capito [P5FS]</DisplayName>
        <AccountId>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E0CA48B592B540AE872CD132CDA518" ma:contentTypeVersion="15" ma:contentTypeDescription="Create a new document." ma:contentTypeScope="" ma:versionID="073746f0707d2a93897cadd90673e395">
  <xsd:schema xmlns:xsd="http://www.w3.org/2001/XMLSchema" xmlns:xs="http://www.w3.org/2001/XMLSchema" xmlns:p="http://schemas.microsoft.com/office/2006/metadata/properties" xmlns:ns2="db02e63f-c57a-4094-ac27-81bb96728ce4" xmlns:ns3="10e25aaf-7277-47a3-ac6f-8bf087b3d215" targetNamespace="http://schemas.microsoft.com/office/2006/metadata/properties" ma:root="true" ma:fieldsID="aff491623b677023b8ca5207af858d6b" ns2:_="" ns3:_="">
    <xsd:import namespace="db02e63f-c57a-4094-ac27-81bb96728ce4"/>
    <xsd:import namespace="10e25aaf-7277-47a3-ac6f-8bf087b3d2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2e63f-c57a-4094-ac27-81bb96728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c2e105-0a4e-4d3e-b8dd-4fcf47bc680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25aaf-7277-47a3-ac6f-8bf087b3d2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116259-e888-4ce3-a483-c6a743b01ed1}" ma:internalName="TaxCatchAll" ma:showField="CatchAllData" ma:web="10e25aaf-7277-47a3-ac6f-8bf087b3d2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85F6BE-37ED-4E18-B048-77BAD1B235E0}">
  <ds:schemaRefs>
    <ds:schemaRef ds:uri="http://purl.org/dc/terms/"/>
    <ds:schemaRef ds:uri="http://purl.org/dc/elements/1.1/"/>
    <ds:schemaRef ds:uri="db02e63f-c57a-4094-ac27-81bb96728ce4"/>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10e25aaf-7277-47a3-ac6f-8bf087b3d215"/>
  </ds:schemaRefs>
</ds:datastoreItem>
</file>

<file path=customXml/itemProps2.xml><?xml version="1.0" encoding="utf-8"?>
<ds:datastoreItem xmlns:ds="http://schemas.openxmlformats.org/officeDocument/2006/customXml" ds:itemID="{81491CE3-109A-4674-92DB-084DC8D49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2e63f-c57a-4094-ac27-81bb96728ce4"/>
    <ds:schemaRef ds:uri="10e25aaf-7277-47a3-ac6f-8bf087b3d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6E4811-873E-407B-9B95-161DF0D86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55</vt:i4>
      </vt:variant>
    </vt:vector>
  </HeadingPairs>
  <TitlesOfParts>
    <vt:vector size="64" baseType="lpstr">
      <vt:lpstr>VariablesINPUT-FCC</vt:lpstr>
      <vt:lpstr>Quality Home Profile</vt:lpstr>
      <vt:lpstr>License-Exempt profile</vt:lpstr>
      <vt:lpstr>QualVar</vt:lpstr>
      <vt:lpstr>Nonpersonnel PCQC</vt:lpstr>
      <vt:lpstr>Wages</vt:lpstr>
      <vt:lpstr>Subsidy Rates</vt:lpstr>
      <vt:lpstr>Tuition Rates</vt:lpstr>
      <vt:lpstr>Fed CACFP</vt:lpstr>
      <vt:lpstr>_NumberTeachingStaff</vt:lpstr>
      <vt:lpstr>Admin_Staff</vt:lpstr>
      <vt:lpstr>'License-Exempt profile'!Asst_Teacher</vt:lpstr>
      <vt:lpstr>Asst_Teacher</vt:lpstr>
      <vt:lpstr>'License-Exempt profile'!Asst_TeacherIT</vt:lpstr>
      <vt:lpstr>Asst_TeacherIT</vt:lpstr>
      <vt:lpstr>AsstTeacherFCC</vt:lpstr>
      <vt:lpstr>BadDebt</vt:lpstr>
      <vt:lpstr>EnrollEffic</vt:lpstr>
      <vt:lpstr>Floater_Assts</vt:lpstr>
      <vt:lpstr>HealthIns</vt:lpstr>
      <vt:lpstr>'License-Exempt profile'!InfantClassrooms</vt:lpstr>
      <vt:lpstr>InfantClassrooms</vt:lpstr>
      <vt:lpstr>'License-Exempt profile'!Infants</vt:lpstr>
      <vt:lpstr>Infants</vt:lpstr>
      <vt:lpstr>'License-Exempt profile'!Nonpersonnel</vt:lpstr>
      <vt:lpstr>Nonpersonnel</vt:lpstr>
      <vt:lpstr>'License-Exempt profile'!NP_EdProgram</vt:lpstr>
      <vt:lpstr>NP_EdProgram</vt:lpstr>
      <vt:lpstr>'License-Exempt profile'!NP_MgtAdmin</vt:lpstr>
      <vt:lpstr>NP_MgtAdmin</vt:lpstr>
      <vt:lpstr>'License-Exempt profile'!NP_Occupancy</vt:lpstr>
      <vt:lpstr>NP_Occupancy</vt:lpstr>
      <vt:lpstr>'License-Exempt profile'!Occupancy</vt:lpstr>
      <vt:lpstr>Occupancy</vt:lpstr>
      <vt:lpstr>Paid_Leave</vt:lpstr>
      <vt:lpstr>'License-Exempt profile'!Preschoolers</vt:lpstr>
      <vt:lpstr>Preschoolers</vt:lpstr>
      <vt:lpstr>'License-Exempt profile'!PreschoolersClassroom</vt:lpstr>
      <vt:lpstr>PreschoolersClassroom</vt:lpstr>
      <vt:lpstr>'VariablesINPUT-FCC'!Print_Area</vt:lpstr>
      <vt:lpstr>'License-Exempt profile'!QualityVarCost</vt:lpstr>
      <vt:lpstr>QualityVarCost</vt:lpstr>
      <vt:lpstr>'License-Exempt profile'!Reserve_Fund</vt:lpstr>
      <vt:lpstr>Reserve_Fund</vt:lpstr>
      <vt:lpstr>'License-Exempt profile'!SchoolageClassroom</vt:lpstr>
      <vt:lpstr>SchoolageClassroom</vt:lpstr>
      <vt:lpstr>'License-Exempt profile'!Schoolagers</vt:lpstr>
      <vt:lpstr>Schoolagers</vt:lpstr>
      <vt:lpstr>Sick_Days</vt:lpstr>
      <vt:lpstr>Sick_DaysFCC</vt:lpstr>
      <vt:lpstr>'License-Exempt profile'!Subs</vt:lpstr>
      <vt:lpstr>Subs</vt:lpstr>
      <vt:lpstr>'License-Exempt profile'!ToddlerClassrooms</vt:lpstr>
      <vt:lpstr>ToddlerClassrooms</vt:lpstr>
      <vt:lpstr>'License-Exempt profile'!Toddlers</vt:lpstr>
      <vt:lpstr>Toddlers</vt:lpstr>
      <vt:lpstr>'License-Exempt profile'!TotalChildren</vt:lpstr>
      <vt:lpstr>TotalChildren</vt:lpstr>
      <vt:lpstr>'License-Exempt profile'!Twos</vt:lpstr>
      <vt:lpstr>Twos</vt:lpstr>
      <vt:lpstr>'License-Exempt profile'!TwosClassroom</vt:lpstr>
      <vt:lpstr>TwosClassroom</vt:lpstr>
      <vt:lpstr>'License-Exempt profile'!TwosClassrooms</vt:lpstr>
      <vt:lpstr>TwosClassrooms</vt:lpstr>
    </vt:vector>
  </TitlesOfParts>
  <Manager/>
  <Company>Early Childhood Policy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Mitchell</dc:creator>
  <cp:keywords/>
  <dc:description/>
  <cp:lastModifiedBy>Simon Workman [P5FS]</cp:lastModifiedBy>
  <cp:revision/>
  <dcterms:created xsi:type="dcterms:W3CDTF">2008-09-19T15:38:02Z</dcterms:created>
  <dcterms:modified xsi:type="dcterms:W3CDTF">2024-11-18T13:12:10Z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aredWithUsers">
    <vt:lpwstr>7;#Jeanna Capito [P5FS]</vt:lpwstr>
  </property>
  <property fmtid="{D5CDD505-2E9C-101B-9397-08002B2CF9AE}" pid="3" name="ContentTypeId">
    <vt:lpwstr>0x010100E0E0CA48B592B540AE872CD132CDA518</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xd_ProgID">
    <vt:lpwstr/>
  </property>
  <property fmtid="{D5CDD505-2E9C-101B-9397-08002B2CF9AE}" pid="11" name="TemplateUrl">
    <vt:lpwstr/>
  </property>
  <property fmtid="{D5CDD505-2E9C-101B-9397-08002B2CF9AE}" pid="12" name="xd_Signature">
    <vt:bool>false</vt:bool>
  </property>
</Properties>
</file>